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30" windowWidth="15480" windowHeight="11580" firstSheet="1" activeTab="1"/>
  </bookViews>
  <sheets>
    <sheet name="ССР 2017" sheetId="4" state="hidden" r:id="rId1"/>
    <sheet name="ССР база" sheetId="3" r:id="rId2"/>
    <sheet name="Расчет с 30% снижением" sheetId="1" state="hidden" r:id="rId3"/>
  </sheets>
  <externalReferences>
    <externalReference r:id="rId4"/>
  </externalReferences>
  <definedNames>
    <definedName name="_xlnm.Print_Area" localSheetId="2">'Расчет с 30% снижением'!$A$1:$R$56,'Расчет с 30% снижением'!$T$36:$AR$46</definedName>
  </definedNames>
  <calcPr calcId="145621"/>
</workbook>
</file>

<file path=xl/calcChain.xml><?xml version="1.0" encoding="utf-8"?>
<calcChain xmlns="http://schemas.openxmlformats.org/spreadsheetml/2006/main">
  <c r="I17" i="1" l="1"/>
  <c r="N17" i="1" s="1"/>
  <c r="G34" i="3"/>
  <c r="D18" i="3"/>
  <c r="O17" i="1"/>
  <c r="E17" i="1"/>
  <c r="L13" i="1" l="1"/>
  <c r="G37" i="1"/>
  <c r="E16" i="1"/>
  <c r="E18" i="1" s="1"/>
  <c r="O18" i="1" s="1"/>
  <c r="D16" i="1"/>
  <c r="D18" i="1" s="1"/>
  <c r="G13" i="1"/>
  <c r="F35" i="3"/>
  <c r="E35" i="3"/>
  <c r="D35" i="3"/>
  <c r="L37" i="1"/>
  <c r="F27" i="3"/>
  <c r="H25" i="3"/>
  <c r="G19" i="3"/>
  <c r="F19" i="3"/>
  <c r="F28" i="3" s="1"/>
  <c r="F36" i="3" s="1"/>
  <c r="E19" i="3"/>
  <c r="I16" i="1"/>
  <c r="G16" i="3"/>
  <c r="F16" i="3"/>
  <c r="E16" i="3"/>
  <c r="D16" i="3"/>
  <c r="H15" i="3"/>
  <c r="C1" i="3"/>
  <c r="G35" i="4"/>
  <c r="F35" i="4"/>
  <c r="E35" i="4"/>
  <c r="D35" i="4"/>
  <c r="H34" i="4"/>
  <c r="H35" i="4" s="1"/>
  <c r="F27" i="4"/>
  <c r="H25" i="4"/>
  <c r="G19" i="4"/>
  <c r="F19" i="4"/>
  <c r="F28" i="4" s="1"/>
  <c r="F36" i="4" s="1"/>
  <c r="E19" i="4"/>
  <c r="E21" i="4" s="1"/>
  <c r="D19" i="4"/>
  <c r="H18" i="4"/>
  <c r="G16" i="4"/>
  <c r="F16" i="4"/>
  <c r="E16" i="4"/>
  <c r="D16" i="4"/>
  <c r="H15" i="4"/>
  <c r="N16" i="1" l="1"/>
  <c r="I18" i="1"/>
  <c r="N18" i="1" s="1"/>
  <c r="R18" i="1" s="1"/>
  <c r="J16" i="1"/>
  <c r="O16" i="1" s="1"/>
  <c r="H18" i="3"/>
  <c r="H34" i="3"/>
  <c r="H35" i="3" s="1"/>
  <c r="G35" i="3"/>
  <c r="H16" i="3"/>
  <c r="E22" i="4"/>
  <c r="E24" i="4" s="1"/>
  <c r="E27" i="4" s="1"/>
  <c r="E28" i="4" s="1"/>
  <c r="E36" i="4" s="1"/>
  <c r="H19" i="4"/>
  <c r="D22" i="4"/>
  <c r="F37" i="3"/>
  <c r="F38" i="3" s="1"/>
  <c r="E21" i="3"/>
  <c r="E22" i="3" s="1"/>
  <c r="F22" i="3"/>
  <c r="D19" i="3"/>
  <c r="G22" i="3"/>
  <c r="F37" i="4"/>
  <c r="F38" i="4" s="1"/>
  <c r="H16" i="4"/>
  <c r="F22" i="4"/>
  <c r="G22" i="4"/>
  <c r="H21" i="4" l="1"/>
  <c r="H22" i="4"/>
  <c r="E24" i="3"/>
  <c r="E27" i="3" s="1"/>
  <c r="E28" i="3" s="1"/>
  <c r="E36" i="3" s="1"/>
  <c r="F39" i="3"/>
  <c r="F40" i="3" s="1"/>
  <c r="H19" i="3"/>
  <c r="F39" i="4"/>
  <c r="F40" i="4" s="1"/>
  <c r="E37" i="4"/>
  <c r="E38" i="4" s="1"/>
  <c r="D27" i="4"/>
  <c r="H24" i="4"/>
  <c r="E37" i="3" l="1"/>
  <c r="E38" i="3" s="1"/>
  <c r="H21" i="3"/>
  <c r="D22" i="3"/>
  <c r="E39" i="4"/>
  <c r="E40" i="4" s="1"/>
  <c r="D28" i="4"/>
  <c r="G27" i="4"/>
  <c r="G28" i="4" s="1"/>
  <c r="H26" i="4"/>
  <c r="H27" i="4" l="1"/>
  <c r="E39" i="3"/>
  <c r="E40" i="3" s="1"/>
  <c r="H22" i="3"/>
  <c r="H28" i="4"/>
  <c r="D36" i="4"/>
  <c r="G31" i="4" l="1"/>
  <c r="G30" i="4"/>
  <c r="H31" i="4"/>
  <c r="D27" i="3"/>
  <c r="H24" i="3"/>
  <c r="H30" i="4"/>
  <c r="G32" i="4" l="1"/>
  <c r="H26" i="3"/>
  <c r="G27" i="3"/>
  <c r="G28" i="3" s="1"/>
  <c r="D28" i="3"/>
  <c r="D38" i="4"/>
  <c r="H32" i="4" l="1"/>
  <c r="G36" i="4"/>
  <c r="D36" i="3"/>
  <c r="H28" i="3"/>
  <c r="H27" i="3"/>
  <c r="D40" i="4"/>
  <c r="G31" i="3" l="1"/>
  <c r="H31" i="3" s="1"/>
  <c r="G30" i="3"/>
  <c r="H30" i="3" s="1"/>
  <c r="H36" i="4"/>
  <c r="G37" i="4"/>
  <c r="D38" i="3"/>
  <c r="G32" i="3" l="1"/>
  <c r="G36" i="3" s="1"/>
  <c r="H36" i="3" s="1"/>
  <c r="G38" i="4"/>
  <c r="H37" i="4"/>
  <c r="G37" i="3" l="1"/>
  <c r="H37" i="3" s="1"/>
  <c r="H32" i="3"/>
  <c r="D40" i="3"/>
  <c r="G39" i="4"/>
  <c r="H39" i="4" s="1"/>
  <c r="H38" i="4"/>
  <c r="D3" i="4" s="1"/>
  <c r="G38" i="3" l="1"/>
  <c r="H38" i="3" s="1"/>
  <c r="D3" i="3" s="1"/>
  <c r="G40" i="4"/>
  <c r="H40" i="4" s="1"/>
  <c r="H13" i="1"/>
  <c r="G14" i="1"/>
  <c r="G39" i="3" l="1"/>
  <c r="H39" i="3" s="1"/>
  <c r="M13" i="1"/>
  <c r="M14" i="1" s="1"/>
  <c r="H14" i="1"/>
  <c r="L14" i="1"/>
  <c r="Q13" i="1"/>
  <c r="Q14" i="1" s="1"/>
  <c r="R14" i="1" s="1"/>
  <c r="Q37" i="1"/>
  <c r="G40" i="3" l="1"/>
  <c r="H40" i="3" s="1"/>
  <c r="R13" i="1"/>
  <c r="Q38" i="1" l="1"/>
  <c r="R38" i="1" l="1"/>
  <c r="L38" i="1"/>
  <c r="M38" i="1" s="1"/>
  <c r="K16" i="1"/>
  <c r="P16" i="1" l="1"/>
  <c r="K17" i="1"/>
  <c r="L39" i="1"/>
  <c r="P17" i="1" l="1"/>
  <c r="R17" i="1" s="1"/>
  <c r="F17" i="1"/>
  <c r="H38" i="1"/>
  <c r="G39" i="1"/>
  <c r="I19" i="1" l="1"/>
  <c r="D19" i="1"/>
  <c r="E19" i="1"/>
  <c r="F19" i="1"/>
  <c r="N19" i="1" l="1"/>
  <c r="N22" i="1" s="1"/>
  <c r="Q39" i="1"/>
  <c r="L16" i="1"/>
  <c r="L19" i="1" l="1"/>
  <c r="K19" i="1"/>
  <c r="J19" i="1"/>
  <c r="Q16" i="1"/>
  <c r="M19" i="1" l="1"/>
  <c r="O19" i="1"/>
  <c r="Q19" i="1"/>
  <c r="Q20" i="1" s="1"/>
  <c r="P19" i="1"/>
  <c r="AP46" i="1" l="1"/>
  <c r="P29" i="1" l="1"/>
  <c r="H16" i="1" l="1"/>
  <c r="R16" i="1" l="1"/>
  <c r="N39" i="1" l="1"/>
  <c r="Q24" i="1"/>
  <c r="R19" i="1"/>
  <c r="M16" i="1" l="1"/>
  <c r="G19" i="1"/>
  <c r="G20" i="1" l="1"/>
  <c r="G24" i="1"/>
  <c r="F20" i="1"/>
  <c r="F23" i="1" s="1"/>
  <c r="F24" i="1" s="1"/>
  <c r="M37" i="1" l="1"/>
  <c r="Z46" i="1" s="1"/>
  <c r="H37" i="1"/>
  <c r="H19" i="1" l="1"/>
  <c r="E20" i="1" l="1"/>
  <c r="E22" i="1" s="1"/>
  <c r="D20" i="1"/>
  <c r="H22" i="1" l="1"/>
  <c r="D23" i="1"/>
  <c r="D24" i="1" l="1"/>
  <c r="P39" i="1"/>
  <c r="O39" i="1"/>
  <c r="P34" i="1"/>
  <c r="O34" i="1"/>
  <c r="N34" i="1"/>
  <c r="P23" i="1"/>
  <c r="R39" i="1" l="1"/>
  <c r="AE46" i="1" s="1"/>
  <c r="AJ46" i="1" s="1"/>
  <c r="R37" i="1"/>
  <c r="V36" i="1" s="1"/>
  <c r="K39" i="1" l="1"/>
  <c r="J39" i="1"/>
  <c r="I39" i="1"/>
  <c r="F39" i="1"/>
  <c r="E39" i="1"/>
  <c r="D39" i="1"/>
  <c r="K34" i="1"/>
  <c r="J34" i="1"/>
  <c r="I34" i="1"/>
  <c r="F34" i="1"/>
  <c r="E34" i="1"/>
  <c r="D34" i="1"/>
  <c r="K29" i="1"/>
  <c r="F29" i="1"/>
  <c r="L23" i="1"/>
  <c r="L24" i="1" s="1"/>
  <c r="K23" i="1"/>
  <c r="L20" i="1"/>
  <c r="H20" i="1"/>
  <c r="P24" i="1" l="1"/>
  <c r="P30" i="1" s="1"/>
  <c r="P35" i="1" s="1"/>
  <c r="P20" i="1"/>
  <c r="J20" i="1"/>
  <c r="J22" i="1" s="1"/>
  <c r="E23" i="1"/>
  <c r="H23" i="1" s="1"/>
  <c r="K20" i="1"/>
  <c r="I20" i="1"/>
  <c r="K24" i="1"/>
  <c r="K30" i="1" s="1"/>
  <c r="K35" i="1" s="1"/>
  <c r="K40" i="1" s="1"/>
  <c r="K42" i="1" s="1"/>
  <c r="F30" i="1"/>
  <c r="F35" i="1" s="1"/>
  <c r="F40" i="1" s="1"/>
  <c r="F42" i="1" s="1"/>
  <c r="I23" i="1" l="1"/>
  <c r="I24" i="1" s="1"/>
  <c r="J23" i="1"/>
  <c r="P40" i="1"/>
  <c r="P42" i="1" s="1"/>
  <c r="M20" i="1"/>
  <c r="O20" i="1"/>
  <c r="O22" i="1" s="1"/>
  <c r="E24" i="1"/>
  <c r="E26" i="1" s="1"/>
  <c r="K43" i="1"/>
  <c r="K46" i="1" s="1"/>
  <c r="AA46" i="1" s="1"/>
  <c r="F43" i="1"/>
  <c r="F46" i="1" s="1"/>
  <c r="V46" i="1" s="1"/>
  <c r="E29" i="1" l="1"/>
  <c r="E30" i="1" s="1"/>
  <c r="O23" i="1"/>
  <c r="O24" i="1" s="1"/>
  <c r="J24" i="1"/>
  <c r="J26" i="1" s="1"/>
  <c r="M23" i="1"/>
  <c r="M22" i="1"/>
  <c r="P43" i="1"/>
  <c r="N20" i="1"/>
  <c r="F47" i="1"/>
  <c r="F48" i="1" s="1"/>
  <c r="K47" i="1"/>
  <c r="K48" i="1" s="1"/>
  <c r="P44" i="1" l="1"/>
  <c r="P45" i="1" s="1"/>
  <c r="O26" i="1"/>
  <c r="M26" i="1"/>
  <c r="M24" i="1"/>
  <c r="J29" i="1"/>
  <c r="J30" i="1" s="1"/>
  <c r="I29" i="1"/>
  <c r="I30" i="1" s="1"/>
  <c r="R20" i="1"/>
  <c r="R22" i="1"/>
  <c r="E35" i="1"/>
  <c r="E40" i="1" s="1"/>
  <c r="E42" i="1" s="1"/>
  <c r="H24" i="1"/>
  <c r="O29" i="1" l="1"/>
  <c r="O30" i="1" s="1"/>
  <c r="O35" i="1" s="1"/>
  <c r="O40" i="1" s="1"/>
  <c r="O42" i="1" s="1"/>
  <c r="M27" i="1"/>
  <c r="AF46" i="1"/>
  <c r="N23" i="1"/>
  <c r="R23" i="1" s="1"/>
  <c r="AK46" i="1"/>
  <c r="P46" i="1"/>
  <c r="P47" i="1" s="1"/>
  <c r="P48" i="1" s="1"/>
  <c r="E43" i="1"/>
  <c r="E46" i="1" s="1"/>
  <c r="E47" i="1" s="1"/>
  <c r="E48" i="1" s="1"/>
  <c r="I35" i="1"/>
  <c r="I40" i="1" s="1"/>
  <c r="J35" i="1"/>
  <c r="J40" i="1" s="1"/>
  <c r="J42" i="1" s="1"/>
  <c r="H26" i="1"/>
  <c r="D29" i="1"/>
  <c r="D30" i="1" s="1"/>
  <c r="O43" i="1" l="1"/>
  <c r="M28" i="1"/>
  <c r="L29" i="1"/>
  <c r="M29" i="1" s="1"/>
  <c r="N24" i="1"/>
  <c r="J43" i="1"/>
  <c r="J46" i="1" s="1"/>
  <c r="J47" i="1" s="1"/>
  <c r="J48" i="1" s="1"/>
  <c r="N26" i="1" l="1"/>
  <c r="O44" i="1"/>
  <c r="O45" i="1" s="1"/>
  <c r="O46" i="1" s="1"/>
  <c r="O47" i="1" s="1"/>
  <c r="O48" i="1" s="1"/>
  <c r="L30" i="1"/>
  <c r="M30" i="1" s="1"/>
  <c r="L33" i="1" s="1"/>
  <c r="M33" i="1" s="1"/>
  <c r="H27" i="1"/>
  <c r="R24" i="1"/>
  <c r="D35" i="1"/>
  <c r="D40" i="1" s="1"/>
  <c r="M39" i="1"/>
  <c r="L32" i="1" l="1"/>
  <c r="H28" i="1"/>
  <c r="G29" i="1"/>
  <c r="N29" i="1"/>
  <c r="N30" i="1" s="1"/>
  <c r="R26" i="1"/>
  <c r="I43" i="1"/>
  <c r="L34" i="1" l="1"/>
  <c r="L35" i="1" s="1"/>
  <c r="M32" i="1"/>
  <c r="G30" i="1"/>
  <c r="H30" i="1" s="1"/>
  <c r="G33" i="1" s="1"/>
  <c r="H33" i="1" s="1"/>
  <c r="H29" i="1"/>
  <c r="N35" i="1"/>
  <c r="N40" i="1" s="1"/>
  <c r="N42" i="1" s="1"/>
  <c r="I46" i="1"/>
  <c r="AB46" i="1" s="1"/>
  <c r="D43" i="1"/>
  <c r="H39" i="1"/>
  <c r="U46" i="1" s="1"/>
  <c r="M34" i="1" l="1"/>
  <c r="L40" i="1"/>
  <c r="L42" i="1" s="1"/>
  <c r="M42" i="1" s="1"/>
  <c r="M35" i="1"/>
  <c r="G32" i="1"/>
  <c r="R27" i="1"/>
  <c r="Q28" i="1" s="1"/>
  <c r="D46" i="1"/>
  <c r="W46" i="1" s="1"/>
  <c r="M40" i="1" l="1"/>
  <c r="H32" i="1"/>
  <c r="G34" i="1"/>
  <c r="G35" i="1" s="1"/>
  <c r="G40" i="1" s="1"/>
  <c r="G42" i="1" s="1"/>
  <c r="I48" i="1"/>
  <c r="N43" i="1"/>
  <c r="N44" i="1" s="1"/>
  <c r="N45" i="1" s="1"/>
  <c r="D48" i="1"/>
  <c r="L43" i="1"/>
  <c r="H35" i="1" l="1"/>
  <c r="H34" i="1"/>
  <c r="R28" i="1"/>
  <c r="Q29" i="1"/>
  <c r="Q30" i="1" s="1"/>
  <c r="R30" i="1" s="1"/>
  <c r="L46" i="1"/>
  <c r="L47" i="1" s="1"/>
  <c r="M43" i="1"/>
  <c r="H42" i="1"/>
  <c r="H40" i="1"/>
  <c r="Q32" i="1" l="1"/>
  <c r="R32" i="1" s="1"/>
  <c r="W41" i="1" s="1"/>
  <c r="Q33" i="1"/>
  <c r="R33" i="1" s="1"/>
  <c r="R29" i="1"/>
  <c r="AG46" i="1"/>
  <c r="M47" i="1"/>
  <c r="M46" i="1"/>
  <c r="Y46" i="1" s="1"/>
  <c r="G43" i="1"/>
  <c r="Q34" i="1" l="1"/>
  <c r="Q35" i="1" s="1"/>
  <c r="AL46" i="1"/>
  <c r="N46" i="1"/>
  <c r="N47" i="1" s="1"/>
  <c r="G46" i="1"/>
  <c r="G47" i="1" s="1"/>
  <c r="H43" i="1"/>
  <c r="L48" i="1"/>
  <c r="M48" i="1" s="1"/>
  <c r="R34" i="1" l="1"/>
  <c r="Q40" i="1"/>
  <c r="Q42" i="1" s="1"/>
  <c r="R35" i="1"/>
  <c r="N48" i="1"/>
  <c r="H47" i="1"/>
  <c r="H46" i="1"/>
  <c r="R42" i="1" l="1"/>
  <c r="R40" i="1"/>
  <c r="N52" i="1"/>
  <c r="T46" i="1"/>
  <c r="X46" i="1" s="1"/>
  <c r="AC46" i="1"/>
  <c r="G48" i="1"/>
  <c r="H48" i="1" s="1"/>
  <c r="Q43" i="1" l="1"/>
  <c r="Q44" i="1" s="1"/>
  <c r="Q45" i="1" s="1"/>
  <c r="R43" i="1" l="1"/>
  <c r="R44" i="1" l="1"/>
  <c r="N53" i="1" l="1"/>
  <c r="AD46" i="1"/>
  <c r="AH46" i="1" s="1"/>
  <c r="Q46" i="1"/>
  <c r="Q47" i="1" s="1"/>
  <c r="R45" i="1"/>
  <c r="R47" i="1" l="1"/>
  <c r="R46" i="1"/>
  <c r="V39" i="1" s="1"/>
  <c r="Q48" i="1" l="1"/>
  <c r="R48" i="1" s="1"/>
  <c r="N54" i="1"/>
  <c r="AI46" i="1"/>
  <c r="AM46" i="1" s="1"/>
  <c r="AQ46" i="1" l="1"/>
  <c r="AN46" i="1"/>
  <c r="V40" i="1"/>
  <c r="V41" i="1" s="1"/>
  <c r="AR46" i="1" l="1"/>
</calcChain>
</file>

<file path=xl/sharedStrings.xml><?xml version="1.0" encoding="utf-8"?>
<sst xmlns="http://schemas.openxmlformats.org/spreadsheetml/2006/main" count="250" uniqueCount="137">
  <si>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</si>
  <si>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</si>
  <si>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</si>
  <si>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</si>
  <si>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</si>
  <si>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</si>
  <si>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</si>
  <si>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</si>
  <si>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</si>
  <si>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</si>
  <si>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</si>
  <si>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ССР</t>
  </si>
  <si>
    <t>ИТОГО ПО ГЛАВЕ 1</t>
  </si>
  <si>
    <t>Глава 2. Основные объекты строительства</t>
  </si>
  <si>
    <t/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</si>
  <si>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</si>
  <si>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</si>
  <si>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</si>
  <si>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</si>
  <si>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</si>
  <si>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</si>
  <si>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</si>
  <si>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</si>
  <si>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Содержание службы заказчика - застройщика  (технического надзора ) строительства 2,14%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</si>
  <si>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</si>
  <si>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</si>
  <si>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</si>
  <si>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Смета к договору</t>
  </si>
  <si>
    <t>ИТОГО ПО ГЛАВЕ 12</t>
  </si>
  <si>
    <t>ИТОГО ПО ГЛАВАМ 1- 12</t>
  </si>
  <si>
    <t>МДС 81- 1.99</t>
  </si>
  <si>
    <t>Непредвиденные работы и затраты  3% (1,5%)</t>
  </si>
  <si>
    <t>ИТОГО</t>
  </si>
  <si>
    <t>ВСЕГО БЕЗ НДС</t>
  </si>
  <si>
    <t>НДС 18%</t>
  </si>
  <si>
    <t>ИТОГО ПО СВОДНОМ СМЕТНОМУ РАСЧЕТУ</t>
  </si>
  <si>
    <t>"СОГЛАСОВАНО"</t>
  </si>
  <si>
    <t>Начальник управления капитального строительства</t>
  </si>
  <si>
    <t>Итого по главам 1-2</t>
  </si>
  <si>
    <t>ТЫС. РУБЛЕЙ без НДС</t>
  </si>
  <si>
    <t>С учетом снижения 30%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</si>
  <si>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</si>
  <si>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</si>
  <si>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</si>
  <si>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</si>
  <si>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</si>
  <si>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</si>
  <si>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</si>
  <si>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</si>
  <si>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</si>
  <si>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</si>
  <si>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</si>
  <si>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Дополнительные затраты при производстве строительно монтажных работ в зимнее время (3,19%, 3,52%)</t>
  </si>
  <si>
    <t>Затраты на временные здания и сооружения 2,5%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</si>
  <si>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</si>
  <si>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</si>
  <si>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</si>
  <si>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ГСН 81-05-01-2001</t>
  </si>
  <si>
    <t>ГСН 81-05-02-2001</t>
  </si>
  <si>
    <t>филиала ПАО "МРСК Северо-Запада" "Комиэнерго"</t>
  </si>
  <si>
    <t>ВЛЗ 10 кВ</t>
  </si>
  <si>
    <t>Изыскательские работы</t>
  </si>
  <si>
    <t>Проектные работы</t>
  </si>
  <si>
    <t>Снегоборьба</t>
  </si>
  <si>
    <t>Премия за ввод объекта</t>
  </si>
  <si>
    <t>2017 год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</si>
  <si>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</si>
  <si>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</si>
  <si>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</si>
  <si>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</si>
  <si>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______________________________ /Е.Н.Сесюк/</t>
  </si>
  <si>
    <t xml:space="preserve">БЛОК 3                                                                                                   Плановая стоимость объекта в прогнозных ценах 2017 года  с учетом применения методики снижения инвестиционных затрат на 30% относительно уровня 2012года </t>
  </si>
  <si>
    <t>Заместитель директора
по инвестиционной деятельности
филиала ПАО "МРСК Северо-Запада" "Комиэнерго"</t>
  </si>
  <si>
    <t>Закзчик</t>
  </si>
  <si>
    <t>ПО "Южные электрические сети" филиала ПАО "МРСК Северо-Запада" "Комиэнерго"</t>
  </si>
  <si>
    <t>"Утвержден"</t>
  </si>
  <si>
    <t xml:space="preserve">Сводный сметный расчет в сумме                     </t>
  </si>
  <si>
    <t>тыс. руб.</t>
  </si>
  <si>
    <t xml:space="preserve">В том числе возвратных сумм        </t>
  </si>
  <si>
    <t>(ссылка на документ об утверждении)</t>
  </si>
  <si>
    <t>СВОДНЫЙ СМЕТНЫЙ РАСЧЕТ СТОИМОСТИ СТРОИТЕЛЬСТВА</t>
  </si>
  <si>
    <t>№ п/п</t>
  </si>
  <si>
    <t>Общая сметная стоимость, тыс. руб.</t>
  </si>
  <si>
    <t>оборудо-вания, мебели и инвентаря</t>
  </si>
  <si>
    <t>Глава 1.
Подготовка территории строительства</t>
  </si>
  <si>
    <t>Итого по главе 1</t>
  </si>
  <si>
    <t>Глава 2.
Основные объекты строительства</t>
  </si>
  <si>
    <t>Лок см 1</t>
  </si>
  <si>
    <t xml:space="preserve">Итого по главе 2 </t>
  </si>
  <si>
    <t>Глава 8.
Временные здания и сооружения</t>
  </si>
  <si>
    <t>Итого по главам 1-8:</t>
  </si>
  <si>
    <t>Глава 9.
Прочие работы и затраты</t>
  </si>
  <si>
    <t>Снегоборьба 0,3%</t>
  </si>
  <si>
    <t>письмо №1336-ВК/1-Д от 10.10.1991</t>
  </si>
  <si>
    <t>Итого по главе 9</t>
  </si>
  <si>
    <t>Итого по главам 1-9:</t>
  </si>
  <si>
    <t>Глава 10.
Содержание службы заказчика-застройщика (технического надзора) строящегося предприятия</t>
  </si>
  <si>
    <t>Строительный контроль 2,14%</t>
  </si>
  <si>
    <t>Итого по главе 10:</t>
  </si>
  <si>
    <t>Глава 12.
Проектные и изыскательские работы</t>
  </si>
  <si>
    <t xml:space="preserve">Проектные и изыскательские работы </t>
  </si>
  <si>
    <t>Итого по главе 12:</t>
  </si>
  <si>
    <t>Итого по главам 1-12:</t>
  </si>
  <si>
    <t>МДС 81-35.2004 п.4.96</t>
  </si>
  <si>
    <t>Резерв средств на непредвиденные работы и затраты 3%</t>
  </si>
  <si>
    <t>Итого по сводному сметному расчету:</t>
  </si>
  <si>
    <t>МДС 81-35.2004 п.4.100; ФЗ от 07.07.2003г         № 117-ФЗ</t>
  </si>
  <si>
    <t>Всего с НДС:</t>
  </si>
  <si>
    <t>Главный инженер                                                                                               /________________/</t>
  </si>
  <si>
    <t>Главный инженер проекта                                                                              /________________/</t>
  </si>
  <si>
    <t>Составлен в ценах по состоянию на: 2000 г.</t>
  </si>
  <si>
    <t>Итого по главк 1</t>
  </si>
  <si>
    <t>Итого по главе 2:</t>
  </si>
  <si>
    <t>Дополнительные затраты при производстве строительно-монтажных работ в зимнее время 2,9*1,1=3,19%</t>
  </si>
  <si>
    <t>письмо от 10.10.1991</t>
  </si>
  <si>
    <t>Разработал:                                                                                             М.А.Тарабукин</t>
  </si>
  <si>
    <t xml:space="preserve">Проверил:                                                                                               А.М.Запрягаев      </t>
  </si>
  <si>
    <t>Дополнительные затраты при производстве строительно-монтажных работ в зимнее время 3,19%</t>
  </si>
  <si>
    <t>Приказ "Комиэнерго"№265 от 05.05.2017</t>
  </si>
  <si>
    <t>Содержание службы заказчика - застройщика, кроме строительного контроля 2,16 %</t>
  </si>
  <si>
    <t>2018 год</t>
  </si>
  <si>
    <t>" ________ "_______________2017 г.</t>
  </si>
  <si>
    <t>"___" ____________ 2017 г.</t>
  </si>
  <si>
    <t>'С учетом индексов-дефляторов 2017</t>
  </si>
  <si>
    <t xml:space="preserve">Плановая стоимость объекта в прогнозных ценах 2017 года  относительно уровня 2012года </t>
  </si>
  <si>
    <t xml:space="preserve">Плановая стоимость объекта впрогнозных ценах 2017года  с учетом применения методики снижения инвестиционных затрат на 30% относительно уровня 2012года       </t>
  </si>
  <si>
    <t>ВЛ 10 кВ</t>
  </si>
  <si>
    <t>Приказ №410 от 30.11.2017</t>
  </si>
  <si>
    <t>Выполнение работ х/способом (материалы + машины)</t>
  </si>
  <si>
    <t>Заработная плата рабочих</t>
  </si>
  <si>
    <t>Затраты на временные здания и сооружения 2%</t>
  </si>
  <si>
    <t>Составлен в ценах по состоянию на: 4 кв.2016 г.</t>
  </si>
  <si>
    <t>Утвержденная сметная стоимость  строительства объекта  (в ценах 4 квартала 2016)</t>
  </si>
  <si>
    <t>БЛОК 1
Утвержденная сметная стоимость  строительства объекта  (в ценах 4 квартала 2016)</t>
  </si>
  <si>
    <t>Сметный расчет 002-53-1-01.32-0915 Реконструкция ВЛ 10 кВ ТП №226 – ТП №1048 – ТП №318 – ТП №1028 в г. Сыктывкаре, Республики Коми (Горохов А.В. ИП Дог. № 56-04171С/16 от 20.12.16)(ВЛ 10 кВ - 0,202 км)</t>
  </si>
  <si>
    <t>Реконструкция ВЛ 10 кВ ТП №226 – ТП №1048 – ТП №318 – ТП №1028 в г. Сыктывкаре, Республики Коми (Горохов А.В. ИП Дог. № 56-04171С/16 от 20.12.16)(ВЛ 10 кВ - 0,202 км)</t>
  </si>
  <si>
    <t>Реконструкция ВЛ 10 кВ ТП №226 – ТП №1048 – ТП №318 – ТП №1028 в г. Сыктывкаре, Республики Коми (Горохов А.В. ИП Дог. № 56-04171С/16 от 20.12.16)(ВЛ 10 кВ - 0,12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</si>
</sst>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_р_."/>
    <numFmt numFmtId="169" formatCode="#,##0.00000"/>
    <numFmt numFmtId="170" formatCode="#,##0.00_р_."/>
    <numFmt numFmtId="171" formatCode="#,##0.000000"/>
    <numFmt numFmtId="172" formatCode="0.00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Arial"/>
      <family val="2"/>
    </font>
    <font>
      <sz val="12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6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</cellStyleXfs>
  <cellXfs count="334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3" xfId="3" applyFont="1" applyBorder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6" fillId="0" borderId="3" xfId="24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168" fontId="26" fillId="0" borderId="3" xfId="23" applyNumberFormat="1" applyFont="1" applyFill="1" applyBorder="1" applyAlignment="1">
      <alignment horizontal="center" vertical="center" wrapText="1"/>
    </xf>
    <xf numFmtId="168" fontId="26" fillId="0" borderId="3" xfId="24" applyNumberFormat="1" applyFont="1" applyFill="1" applyBorder="1" applyAlignment="1">
      <alignment horizontal="center" vertical="center" wrapText="1"/>
    </xf>
    <xf numFmtId="168" fontId="25" fillId="0" borderId="3" xfId="3" applyNumberFormat="1" applyFont="1" applyFill="1" applyBorder="1" applyAlignment="1">
      <alignment horizontal="center" vertical="center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49" fontId="26" fillId="0" borderId="3" xfId="21" applyNumberFormat="1" applyFont="1" applyFill="1" applyBorder="1" applyAlignment="1">
      <alignment horizontal="left" vertical="center" wrapText="1"/>
    </xf>
    <xf numFmtId="0" fontId="26" fillId="0" borderId="3" xfId="27" applyFont="1" applyFill="1" applyBorder="1" applyAlignment="1">
      <alignment horizontal="left" vertical="top" wrapText="1"/>
    </xf>
    <xf numFmtId="165" fontId="26" fillId="0" borderId="3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165" fontId="11" fillId="0" borderId="3" xfId="29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165" fontId="25" fillId="0" borderId="3" xfId="29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168" fontId="26" fillId="0" borderId="9" xfId="23" applyNumberFormat="1" applyFont="1" applyFill="1" applyBorder="1" applyAlignment="1">
      <alignment horizontal="center" vertical="center" wrapText="1"/>
    </xf>
    <xf numFmtId="168" fontId="26" fillId="0" borderId="10" xfId="24" applyNumberFormat="1" applyFont="1" applyFill="1" applyBorder="1" applyAlignment="1">
      <alignment horizontal="center" vertical="center" wrapText="1"/>
    </xf>
    <xf numFmtId="0" fontId="11" fillId="0" borderId="10" xfId="25" quotePrefix="1" applyFont="1" applyFill="1" applyBorder="1" applyAlignment="1">
      <alignment horizontal="left" vertical="top" wrapText="1"/>
    </xf>
    <xf numFmtId="165" fontId="26" fillId="0" borderId="9" xfId="29" applyNumberFormat="1" applyFont="1" applyFill="1" applyBorder="1" applyAlignment="1">
      <alignment horizontal="right" vertical="top" wrapText="1"/>
    </xf>
    <xf numFmtId="165" fontId="26" fillId="0" borderId="10" xfId="30" applyNumberFormat="1" applyFont="1" applyFill="1" applyBorder="1" applyAlignment="1">
      <alignment horizontal="right" vertical="top" wrapText="1"/>
    </xf>
    <xf numFmtId="165" fontId="11" fillId="0" borderId="9" xfId="29" applyNumberFormat="1" applyFont="1" applyFill="1" applyBorder="1" applyAlignment="1">
      <alignment horizontal="right" vertical="top" wrapText="1"/>
    </xf>
    <xf numFmtId="165" fontId="11" fillId="0" borderId="10" xfId="30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left" vertical="top" wrapText="1"/>
    </xf>
    <xf numFmtId="165" fontId="11" fillId="0" borderId="10" xfId="25" quotePrefix="1" applyNumberFormat="1" applyFont="1" applyFill="1" applyBorder="1" applyAlignment="1">
      <alignment horizontal="left" vertical="top" wrapText="1"/>
    </xf>
    <xf numFmtId="165" fontId="26" fillId="0" borderId="10" xfId="29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center" vertical="top" wrapText="1"/>
    </xf>
    <xf numFmtId="165" fontId="11" fillId="0" borderId="10" xfId="29" applyNumberFormat="1" applyFont="1" applyFill="1" applyBorder="1" applyAlignment="1">
      <alignment horizontal="right" vertical="top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0" borderId="9" xfId="24" applyNumberFormat="1" applyFont="1" applyBorder="1" applyAlignment="1">
      <alignment horizontal="center" vertical="center" wrapText="1"/>
    </xf>
    <xf numFmtId="165" fontId="26" fillId="0" borderId="11" xfId="29" applyNumberFormat="1" applyFont="1" applyFill="1" applyBorder="1" applyAlignment="1">
      <alignment horizontal="right" vertical="top" wrapText="1"/>
    </xf>
    <xf numFmtId="165" fontId="26" fillId="0" borderId="12" xfId="29" applyNumberFormat="1" applyFont="1" applyFill="1" applyBorder="1" applyAlignment="1">
      <alignment horizontal="right" vertical="top"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26" fillId="0" borderId="10" xfId="24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165" fontId="26" fillId="2" borderId="9" xfId="29" applyNumberFormat="1" applyFont="1" applyFill="1" applyBorder="1" applyAlignment="1">
      <alignment horizontal="right" vertical="top" wrapText="1"/>
    </xf>
    <xf numFmtId="165" fontId="26" fillId="2" borderId="3" xfId="29" applyNumberFormat="1" applyFont="1" applyFill="1" applyBorder="1" applyAlignment="1">
      <alignment horizontal="right" vertical="top" wrapText="1"/>
    </xf>
    <xf numFmtId="165" fontId="26" fillId="2" borderId="10" xfId="29" applyNumberFormat="1" applyFont="1" applyFill="1" applyBorder="1" applyAlignment="1">
      <alignment horizontal="right" vertical="top" wrapText="1"/>
    </xf>
    <xf numFmtId="165" fontId="26" fillId="0" borderId="14" xfId="29" applyNumberFormat="1" applyFont="1" applyFill="1" applyBorder="1" applyAlignment="1">
      <alignment horizontal="right" vertical="top" wrapText="1"/>
    </xf>
    <xf numFmtId="165" fontId="11" fillId="0" borderId="14" xfId="29" applyNumberFormat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right" vertical="top" wrapText="1"/>
    </xf>
    <xf numFmtId="165" fontId="25" fillId="0" borderId="10" xfId="30" applyNumberFormat="1" applyFont="1" applyFill="1" applyBorder="1" applyAlignment="1">
      <alignment horizontal="right" vertical="top" wrapText="1"/>
    </xf>
    <xf numFmtId="165" fontId="25" fillId="0" borderId="3" xfId="29" applyNumberFormat="1" applyFont="1" applyFill="1" applyBorder="1" applyAlignment="1">
      <alignment horizontal="right" vertical="top" wrapText="1"/>
    </xf>
    <xf numFmtId="165" fontId="26" fillId="2" borderId="14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9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71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168" fontId="26" fillId="0" borderId="14" xfId="23" applyNumberFormat="1" applyFont="1" applyFill="1" applyBorder="1" applyAlignment="1">
      <alignment horizontal="center" vertical="center" wrapText="1"/>
    </xf>
    <xf numFmtId="0" fontId="11" fillId="0" borderId="14" xfId="25" quotePrefix="1" applyFont="1" applyFill="1" applyBorder="1" applyAlignment="1">
      <alignment horizontal="left" vertical="top" wrapText="1"/>
    </xf>
    <xf numFmtId="0" fontId="11" fillId="0" borderId="14" xfId="25" quotePrefix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right" vertical="top" wrapText="1"/>
    </xf>
    <xf numFmtId="0" fontId="23" fillId="0" borderId="0" xfId="9" applyFont="1" applyBorder="1" applyAlignment="1">
      <alignment vertical="center" wrapText="1"/>
    </xf>
    <xf numFmtId="164" fontId="25" fillId="0" borderId="3" xfId="30" applyNumberFormat="1" applyFont="1" applyFill="1" applyBorder="1" applyAlignment="1">
      <alignment horizontal="right" vertical="top" wrapText="1"/>
    </xf>
    <xf numFmtId="168" fontId="26" fillId="0" borderId="14" xfId="24" applyNumberFormat="1" applyFont="1" applyFill="1" applyBorder="1" applyAlignment="1">
      <alignment horizontal="center" vertical="center" wrapText="1"/>
    </xf>
    <xf numFmtId="165" fontId="26" fillId="0" borderId="14" xfId="23" applyNumberFormat="1" applyFont="1" applyFill="1" applyBorder="1" applyAlignment="1">
      <alignment vertical="center" wrapText="1"/>
    </xf>
    <xf numFmtId="165" fontId="26" fillId="0" borderId="3" xfId="23" applyNumberFormat="1" applyFont="1" applyFill="1" applyBorder="1" applyAlignment="1">
      <alignment vertical="center" wrapText="1"/>
    </xf>
    <xf numFmtId="165" fontId="26" fillId="0" borderId="14" xfId="29" applyNumberFormat="1" applyFont="1" applyFill="1" applyBorder="1" applyAlignment="1">
      <alignment vertical="top" wrapText="1"/>
    </xf>
    <xf numFmtId="165" fontId="26" fillId="0" borderId="3" xfId="29" applyNumberFormat="1" applyFont="1" applyFill="1" applyBorder="1" applyAlignment="1">
      <alignment vertical="top" wrapText="1"/>
    </xf>
    <xf numFmtId="165" fontId="25" fillId="0" borderId="3" xfId="30" applyNumberFormat="1" applyFont="1" applyFill="1" applyBorder="1" applyAlignment="1">
      <alignment vertical="top" wrapText="1"/>
    </xf>
    <xf numFmtId="165" fontId="11" fillId="0" borderId="14" xfId="29" applyNumberFormat="1" applyFont="1" applyFill="1" applyBorder="1" applyAlignment="1">
      <alignment vertical="top" wrapText="1"/>
    </xf>
    <xf numFmtId="165" fontId="11" fillId="0" borderId="3" xfId="29" applyNumberFormat="1" applyFont="1" applyFill="1" applyBorder="1" applyAlignment="1">
      <alignment vertical="top" wrapText="1"/>
    </xf>
    <xf numFmtId="165" fontId="11" fillId="0" borderId="14" xfId="25" quotePrefix="1" applyNumberFormat="1" applyFont="1" applyFill="1" applyBorder="1" applyAlignment="1">
      <alignment vertical="top" wrapText="1"/>
    </xf>
    <xf numFmtId="165" fontId="11" fillId="0" borderId="3" xfId="25" quotePrefix="1" applyNumberFormat="1" applyFont="1" applyFill="1" applyBorder="1" applyAlignment="1">
      <alignment vertical="top" wrapText="1"/>
    </xf>
    <xf numFmtId="165" fontId="28" fillId="0" borderId="3" xfId="8" applyNumberFormat="1" applyFont="1" applyBorder="1" applyAlignment="1">
      <alignment horizontal="center" vertical="center" wrapText="1"/>
    </xf>
    <xf numFmtId="165" fontId="16" fillId="0" borderId="3" xfId="8" applyNumberFormat="1" applyFont="1" applyBorder="1" applyAlignment="1">
      <alignment horizontal="center" vertical="center" wrapText="1"/>
    </xf>
    <xf numFmtId="165" fontId="1" fillId="0" borderId="3" xfId="8" applyNumberFormat="1" applyFont="1" applyBorder="1" applyAlignment="1">
      <alignment horizontal="center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165" fontId="0" fillId="0" borderId="0" xfId="0" applyNumberFormat="1"/>
    <xf numFmtId="4" fontId="11" fillId="0" borderId="10" xfId="30" applyNumberFormat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165" fontId="26" fillId="0" borderId="5" xfId="29" applyNumberFormat="1" applyFont="1" applyFill="1" applyBorder="1" applyAlignment="1">
      <alignment vertical="top" wrapText="1"/>
    </xf>
    <xf numFmtId="165" fontId="25" fillId="0" borderId="14" xfId="30" applyNumberFormat="1" applyFont="1" applyFill="1" applyBorder="1" applyAlignment="1">
      <alignment horizontal="right" vertical="top" wrapText="1"/>
    </xf>
    <xf numFmtId="165" fontId="11" fillId="0" borderId="15" xfId="29" applyNumberFormat="1" applyFont="1" applyFill="1" applyBorder="1" applyAlignment="1">
      <alignment horizontal="right" vertical="top" wrapText="1"/>
    </xf>
    <xf numFmtId="165" fontId="26" fillId="2" borderId="16" xfId="29" applyNumberFormat="1" applyFont="1" applyFill="1" applyBorder="1" applyAlignment="1">
      <alignment horizontal="right" vertical="top" wrapText="1"/>
    </xf>
    <xf numFmtId="0" fontId="31" fillId="6" borderId="3" xfId="3" applyFont="1" applyFill="1" applyBorder="1" applyAlignment="1">
      <alignment horizontal="center" vertical="center" wrapText="1"/>
    </xf>
    <xf numFmtId="169" fontId="11" fillId="0" borderId="14" xfId="29" applyNumberFormat="1" applyFont="1" applyFill="1" applyBorder="1" applyAlignment="1">
      <alignment horizontal="right" vertical="top" wrapText="1"/>
    </xf>
    <xf numFmtId="169" fontId="11" fillId="0" borderId="3" xfId="29" applyNumberFormat="1" applyFont="1" applyFill="1" applyBorder="1" applyAlignment="1">
      <alignment horizontal="right" vertical="top" wrapText="1"/>
    </xf>
    <xf numFmtId="172" fontId="25" fillId="0" borderId="14" xfId="30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25" fillId="0" borderId="0" xfId="43" applyFont="1" applyAlignment="1" applyProtection="1">
      <alignment horizontal="right" vertical="center"/>
      <protection locked="0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164" fontId="25" fillId="0" borderId="10" xfId="3" applyNumberFormat="1" applyFont="1" applyFill="1" applyBorder="1" applyAlignment="1">
      <alignment horizontal="center" vertical="center" wrapText="1"/>
    </xf>
    <xf numFmtId="164" fontId="26" fillId="0" borderId="10" xfId="24" applyNumberFormat="1" applyFont="1" applyFill="1" applyBorder="1" applyAlignment="1">
      <alignment horizontal="center" vertical="center" wrapText="1"/>
    </xf>
    <xf numFmtId="164" fontId="11" fillId="0" borderId="10" xfId="25" quotePrefix="1" applyNumberFormat="1" applyFont="1" applyFill="1" applyBorder="1" applyAlignment="1">
      <alignment horizontal="right" vertical="top" wrapText="1"/>
    </xf>
    <xf numFmtId="164" fontId="26" fillId="0" borderId="10" xfId="23" applyNumberFormat="1" applyFont="1" applyFill="1" applyBorder="1" applyAlignment="1">
      <alignment vertical="center" wrapText="1"/>
    </xf>
    <xf numFmtId="164" fontId="11" fillId="0" borderId="10" xfId="30" applyNumberFormat="1" applyFont="1" applyFill="1" applyBorder="1" applyAlignment="1">
      <alignment vertical="top" wrapText="1"/>
    </xf>
    <xf numFmtId="164" fontId="11" fillId="0" borderId="10" xfId="25" quotePrefix="1" applyNumberFormat="1" applyFont="1" applyFill="1" applyBorder="1" applyAlignment="1">
      <alignment vertical="top" wrapText="1"/>
    </xf>
    <xf numFmtId="164" fontId="26" fillId="0" borderId="10" xfId="30" applyNumberFormat="1" applyFont="1" applyFill="1" applyBorder="1" applyAlignment="1">
      <alignment vertical="top" wrapText="1"/>
    </xf>
    <xf numFmtId="164" fontId="26" fillId="0" borderId="10" xfId="29" applyNumberFormat="1" applyFont="1" applyFill="1" applyBorder="1" applyAlignment="1">
      <alignment vertical="top" wrapText="1"/>
    </xf>
    <xf numFmtId="164" fontId="26" fillId="0" borderId="4" xfId="29" applyNumberFormat="1" applyFont="1" applyFill="1" applyBorder="1" applyAlignment="1">
      <alignment vertical="top" wrapText="1"/>
    </xf>
    <xf numFmtId="164" fontId="26" fillId="0" borderId="3" xfId="29" applyNumberFormat="1" applyFont="1" applyFill="1" applyBorder="1" applyAlignment="1">
      <alignment horizontal="right" vertical="top" wrapText="1"/>
    </xf>
    <xf numFmtId="164" fontId="11" fillId="0" borderId="10" xfId="30" applyNumberFormat="1" applyFont="1" applyFill="1" applyBorder="1" applyAlignment="1">
      <alignment horizontal="right" vertical="top" wrapText="1"/>
    </xf>
    <xf numFmtId="164" fontId="26" fillId="0" borderId="10" xfId="29" applyNumberFormat="1" applyFont="1" applyFill="1" applyBorder="1" applyAlignment="1">
      <alignment horizontal="right" vertical="top" wrapText="1"/>
    </xf>
    <xf numFmtId="164" fontId="11" fillId="0" borderId="10" xfId="29" applyNumberFormat="1" applyFont="1" applyFill="1" applyBorder="1" applyAlignment="1">
      <alignment horizontal="right" vertical="top" wrapText="1"/>
    </xf>
    <xf numFmtId="164" fontId="26" fillId="2" borderId="17" xfId="29" applyNumberFormat="1" applyFont="1" applyFill="1" applyBorder="1" applyAlignment="1">
      <alignment horizontal="right" vertical="top" wrapText="1"/>
    </xf>
    <xf numFmtId="164" fontId="26" fillId="2" borderId="10" xfId="29" applyNumberFormat="1" applyFont="1" applyFill="1" applyBorder="1" applyAlignment="1">
      <alignment horizontal="right" vertical="top" wrapText="1"/>
    </xf>
    <xf numFmtId="164" fontId="26" fillId="0" borderId="13" xfId="29" applyNumberFormat="1" applyFont="1" applyFill="1" applyBorder="1" applyAlignment="1">
      <alignment horizontal="right" vertical="top" wrapText="1"/>
    </xf>
    <xf numFmtId="164" fontId="11" fillId="0" borderId="9" xfId="29" applyNumberFormat="1" applyFont="1" applyFill="1" applyBorder="1" applyAlignment="1">
      <alignment horizontal="right" vertical="top" wrapText="1"/>
    </xf>
    <xf numFmtId="164" fontId="11" fillId="0" borderId="3" xfId="29" applyNumberFormat="1" applyFont="1" applyFill="1" applyBorder="1" applyAlignment="1">
      <alignment horizontal="right" vertical="top" wrapText="1"/>
    </xf>
    <xf numFmtId="164" fontId="26" fillId="0" borderId="9" xfId="29" applyNumberFormat="1" applyFont="1" applyFill="1" applyBorder="1" applyAlignment="1">
      <alignment horizontal="right" vertical="top" wrapText="1"/>
    </xf>
    <xf numFmtId="164" fontId="26" fillId="0" borderId="11" xfId="29" applyNumberFormat="1" applyFont="1" applyFill="1" applyBorder="1" applyAlignment="1">
      <alignment horizontal="right" vertical="top" wrapText="1"/>
    </xf>
    <xf numFmtId="164" fontId="26" fillId="0" borderId="12" xfId="29" applyNumberFormat="1" applyFont="1" applyFill="1" applyBorder="1" applyAlignment="1">
      <alignment horizontal="right" vertical="top" wrapText="1"/>
    </xf>
    <xf numFmtId="0" fontId="32" fillId="0" borderId="0" xfId="0" applyFont="1"/>
    <xf numFmtId="0" fontId="32" fillId="0" borderId="1" xfId="0" applyFont="1" applyBorder="1"/>
    <xf numFmtId="0" fontId="0" fillId="0" borderId="1" xfId="0" applyBorder="1"/>
    <xf numFmtId="49" fontId="33" fillId="0" borderId="0" xfId="0" applyNumberFormat="1" applyFont="1" applyAlignment="1">
      <alignment horizontal="left" vertical="center"/>
    </xf>
    <xf numFmtId="165" fontId="33" fillId="0" borderId="1" xfId="0" applyNumberFormat="1" applyFont="1" applyBorder="1" applyAlignment="1">
      <alignment horizontal="right" vertical="center"/>
    </xf>
    <xf numFmtId="49" fontId="33" fillId="0" borderId="1" xfId="0" applyNumberFormat="1" applyFont="1" applyBorder="1" applyAlignment="1">
      <alignment horizontal="left" vertical="center"/>
    </xf>
    <xf numFmtId="49" fontId="33" fillId="0" borderId="0" xfId="0" applyNumberFormat="1" applyFont="1" applyBorder="1" applyAlignment="1">
      <alignment horizontal="left" vertical="center"/>
    </xf>
    <xf numFmtId="49" fontId="34" fillId="0" borderId="0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/>
    </xf>
    <xf numFmtId="49" fontId="34" fillId="0" borderId="3" xfId="0" applyNumberFormat="1" applyFont="1" applyBorder="1" applyAlignment="1">
      <alignment horizontal="center"/>
    </xf>
    <xf numFmtId="0" fontId="36" fillId="0" borderId="3" xfId="0" applyFont="1" applyBorder="1" applyAlignment="1">
      <alignment horizontal="left" vertical="center" wrapText="1"/>
    </xf>
    <xf numFmtId="164" fontId="34" fillId="0" borderId="3" xfId="0" applyNumberFormat="1" applyFont="1" applyBorder="1" applyAlignment="1">
      <alignment horizontal="center"/>
    </xf>
    <xf numFmtId="49" fontId="34" fillId="0" borderId="15" xfId="0" applyNumberFormat="1" applyFont="1" applyFill="1" applyBorder="1" applyAlignment="1">
      <alignment horizontal="left" wrapText="1"/>
    </xf>
    <xf numFmtId="0" fontId="34" fillId="0" borderId="16" xfId="0" applyFont="1" applyBorder="1" applyAlignment="1">
      <alignment horizontal="left" vertical="top" wrapText="1"/>
    </xf>
    <xf numFmtId="164" fontId="34" fillId="0" borderId="3" xfId="0" applyNumberFormat="1" applyFont="1" applyBorder="1" applyAlignment="1">
      <alignment horizontal="right"/>
    </xf>
    <xf numFmtId="0" fontId="34" fillId="0" borderId="16" xfId="0" applyFont="1" applyBorder="1" applyAlignment="1">
      <alignment horizontal="left" vertical="center" wrapText="1"/>
    </xf>
    <xf numFmtId="0" fontId="34" fillId="0" borderId="3" xfId="0" applyFont="1" applyFill="1" applyBorder="1" applyAlignment="1">
      <alignment horizontal="center"/>
    </xf>
    <xf numFmtId="0" fontId="36" fillId="0" borderId="3" xfId="0" applyFont="1" applyBorder="1" applyAlignment="1"/>
    <xf numFmtId="164" fontId="36" fillId="0" borderId="3" xfId="0" applyNumberFormat="1" applyFont="1" applyBorder="1" applyAlignment="1"/>
    <xf numFmtId="0" fontId="34" fillId="0" borderId="3" xfId="0" applyFont="1" applyFill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4" fillId="0" borderId="3" xfId="0" applyFont="1" applyBorder="1" applyAlignment="1">
      <alignment horizontal="left" vertical="center" wrapText="1"/>
    </xf>
    <xf numFmtId="164" fontId="34" fillId="0" borderId="3" xfId="0" applyNumberFormat="1" applyFont="1" applyFill="1" applyBorder="1" applyAlignment="1">
      <alignment horizontal="right"/>
    </xf>
    <xf numFmtId="164" fontId="34" fillId="0" borderId="3" xfId="0" applyNumberFormat="1" applyFont="1" applyFill="1" applyBorder="1" applyAlignment="1">
      <alignment horizontal="right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34" fillId="0" borderId="16" xfId="0" applyFont="1" applyFill="1" applyBorder="1" applyAlignment="1">
      <alignment horizontal="left" vertical="center" wrapText="1"/>
    </xf>
    <xf numFmtId="0" fontId="36" fillId="0" borderId="3" xfId="0" applyFont="1" applyFill="1" applyBorder="1" applyAlignment="1"/>
    <xf numFmtId="0" fontId="36" fillId="0" borderId="3" xfId="0" applyFont="1" applyFill="1" applyBorder="1" applyAlignment="1">
      <alignment horizontal="left" vertical="center" wrapText="1"/>
    </xf>
    <xf numFmtId="164" fontId="36" fillId="0" borderId="3" xfId="0" applyNumberFormat="1" applyFont="1" applyFill="1" applyBorder="1" applyAlignment="1"/>
    <xf numFmtId="49" fontId="4" fillId="0" borderId="4" xfId="0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right" vertical="center"/>
    </xf>
    <xf numFmtId="0" fontId="34" fillId="0" borderId="16" xfId="0" applyFont="1" applyFill="1" applyBorder="1" applyAlignment="1">
      <alignment horizontal="right" vertical="center" wrapText="1"/>
    </xf>
    <xf numFmtId="164" fontId="0" fillId="0" borderId="3" xfId="0" applyNumberFormat="1" applyFill="1" applyBorder="1" applyAlignment="1">
      <alignment horizontal="right"/>
    </xf>
    <xf numFmtId="49" fontId="0" fillId="0" borderId="4" xfId="0" applyNumberFormat="1" applyFill="1" applyBorder="1" applyAlignment="1">
      <alignment horizontal="center" vertical="center" wrapText="1"/>
    </xf>
    <xf numFmtId="0" fontId="0" fillId="0" borderId="3" xfId="0" applyBorder="1"/>
    <xf numFmtId="49" fontId="0" fillId="0" borderId="4" xfId="0" applyNumberFormat="1" applyFill="1" applyBorder="1" applyAlignment="1">
      <alignment horizontal="left" vertical="top" wrapText="1"/>
    </xf>
    <xf numFmtId="0" fontId="34" fillId="0" borderId="3" xfId="0" applyFont="1" applyFill="1" applyBorder="1" applyAlignment="1">
      <alignment horizontal="left" vertical="top" wrapText="1"/>
    </xf>
    <xf numFmtId="0" fontId="34" fillId="0" borderId="15" xfId="0" applyFont="1" applyFill="1" applyBorder="1" applyAlignment="1">
      <alignment vertical="center"/>
    </xf>
    <xf numFmtId="49" fontId="0" fillId="0" borderId="15" xfId="0" applyNumberFormat="1" applyFill="1" applyBorder="1" applyAlignment="1">
      <alignment vertical="center" wrapText="1"/>
    </xf>
    <xf numFmtId="0" fontId="34" fillId="0" borderId="15" xfId="0" applyFont="1" applyFill="1" applyBorder="1" applyAlignment="1">
      <alignment vertical="center" wrapText="1"/>
    </xf>
    <xf numFmtId="164" fontId="34" fillId="0" borderId="15" xfId="0" applyNumberFormat="1" applyFont="1" applyFill="1" applyBorder="1" applyAlignment="1">
      <alignment vertical="center"/>
    </xf>
    <xf numFmtId="0" fontId="34" fillId="0" borderId="3" xfId="0" applyFont="1" applyFill="1" applyBorder="1" applyAlignment="1">
      <alignment horizontal="right" vertical="center" wrapText="1"/>
    </xf>
    <xf numFmtId="3" fontId="11" fillId="0" borderId="0" xfId="0" applyNumberFormat="1" applyFont="1"/>
    <xf numFmtId="0" fontId="4" fillId="0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vertical="center" wrapText="1"/>
    </xf>
    <xf numFmtId="49" fontId="34" fillId="0" borderId="3" xfId="0" applyNumberFormat="1" applyFont="1" applyFill="1" applyBorder="1" applyAlignment="1">
      <alignment wrapText="1"/>
    </xf>
    <xf numFmtId="164" fontId="36" fillId="0" borderId="3" xfId="0" applyNumberFormat="1" applyFont="1" applyFill="1" applyBorder="1" applyAlignment="1">
      <alignment horizontal="right"/>
    </xf>
    <xf numFmtId="4" fontId="0" fillId="0" borderId="0" xfId="0" applyNumberFormat="1"/>
    <xf numFmtId="0" fontId="34" fillId="0" borderId="3" xfId="0" applyFont="1" applyFill="1" applyBorder="1" applyAlignment="1">
      <alignment vertical="center" wrapText="1"/>
    </xf>
    <xf numFmtId="49" fontId="34" fillId="0" borderId="3" xfId="0" applyNumberFormat="1" applyFont="1" applyFill="1" applyBorder="1"/>
    <xf numFmtId="0" fontId="36" fillId="0" borderId="3" xfId="0" applyFont="1" applyFill="1" applyBorder="1" applyAlignment="1">
      <alignment horizontal="right" vertical="center" wrapText="1"/>
    </xf>
    <xf numFmtId="0" fontId="34" fillId="0" borderId="0" xfId="0" applyFont="1"/>
    <xf numFmtId="0" fontId="4" fillId="0" borderId="0" xfId="0" applyFont="1"/>
    <xf numFmtId="49" fontId="34" fillId="0" borderId="0" xfId="0" applyNumberFormat="1" applyFont="1"/>
    <xf numFmtId="0" fontId="34" fillId="0" borderId="16" xfId="0" applyFont="1" applyFill="1" applyBorder="1" applyAlignment="1">
      <alignment horizontal="left" vertical="top" wrapText="1"/>
    </xf>
    <xf numFmtId="0" fontId="26" fillId="2" borderId="4" xfId="28" applyFont="1" applyFill="1" applyBorder="1" applyAlignment="1">
      <alignment horizontal="left" vertical="top" wrapText="1"/>
    </xf>
    <xf numFmtId="0" fontId="34" fillId="0" borderId="18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center" vertical="center" wrapText="1"/>
    </xf>
    <xf numFmtId="11" fontId="33" fillId="0" borderId="0" xfId="0" applyNumberFormat="1" applyFont="1" applyAlignment="1">
      <alignment horizontal="center" vertical="center" wrapText="1"/>
    </xf>
    <xf numFmtId="49" fontId="13" fillId="0" borderId="1" xfId="0" applyNumberFormat="1" applyFont="1" applyBorder="1" applyAlignment="1">
      <alignment horizontal="right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34" fillId="0" borderId="15" xfId="0" applyNumberFormat="1" applyFont="1" applyBorder="1" applyAlignment="1">
      <alignment horizontal="center" vertical="center" wrapText="1"/>
    </xf>
    <xf numFmtId="49" fontId="34" fillId="0" borderId="16" xfId="0" applyNumberFormat="1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1" fillId="6" borderId="15" xfId="3" applyFont="1" applyFill="1" applyBorder="1" applyAlignment="1">
      <alignment horizontal="center" vertical="center" wrapText="1"/>
    </xf>
    <xf numFmtId="0" fontId="31" fillId="6" borderId="16" xfId="3" applyFont="1" applyFill="1" applyBorder="1" applyAlignment="1">
      <alignment horizontal="center" vertical="center" wrapText="1"/>
    </xf>
    <xf numFmtId="0" fontId="31" fillId="6" borderId="4" xfId="3" applyFont="1" applyFill="1" applyBorder="1" applyAlignment="1">
      <alignment horizontal="center" vertical="center" wrapText="1"/>
    </xf>
    <xf numFmtId="0" fontId="31" fillId="6" borderId="5" xfId="3" applyFont="1" applyFill="1" applyBorder="1" applyAlignment="1">
      <alignment horizontal="center" vertical="center" wrapText="1"/>
    </xf>
    <xf numFmtId="0" fontId="31" fillId="6" borderId="2" xfId="3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4" fontId="25" fillId="4" borderId="4" xfId="41" quotePrefix="1" applyNumberFormat="1" applyFont="1" applyFill="1" applyBorder="1" applyAlignment="1">
      <alignment horizontal="center" vertical="center" wrapText="1"/>
    </xf>
    <xf numFmtId="4" fontId="25" fillId="4" borderId="5" xfId="41" quotePrefix="1" applyNumberFormat="1" applyFont="1" applyFill="1" applyBorder="1" applyAlignment="1">
      <alignment horizontal="center" vertical="center" wrapText="1"/>
    </xf>
    <xf numFmtId="0" fontId="8" fillId="0" borderId="0" xfId="8" applyFont="1" applyAlignment="1">
      <alignment horizontal="right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166" fontId="19" fillId="0" borderId="0" xfId="42" applyNumberFormat="1" applyFont="1" applyFill="1" applyBorder="1" applyAlignment="1">
      <alignment horizontal="left" vertical="center" wrapText="1"/>
    </xf>
    <xf numFmtId="0" fontId="21" fillId="0" borderId="0" xfId="8" applyFont="1" applyAlignment="1">
      <alignment horizontal="left"/>
    </xf>
    <xf numFmtId="0" fontId="36" fillId="0" borderId="0" xfId="9" applyFont="1" applyBorder="1" applyAlignment="1">
      <alignment horizontal="center" vertical="center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14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44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3" xfId="42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ms0977/Local%20Settings/Temporary%20Internet%20Files/Content.Outlook/L8RN96SK/&#1057;&#1074;&#1086;&#1076;&#1085;&#1080;&#1082;%20&#1057;&#1050;&#104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"/>
      <sheetName val="база"/>
    </sheetNames>
    <sheetDataSet>
      <sheetData sheetId="0" refreshError="1">
        <row r="1">
          <cell r="C1" t="str">
            <v>ПО "Южные электрические сети" филиала ПАО "МРСК Северо-Запада" "Комиэнерго"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opLeftCell="A34" workbookViewId="0">
      <selection activeCell="D39" sqref="D39"/>
    </sheetView>
  </sheetViews>
  <sheetFormatPr defaultRowHeight="15" x14ac:dyDescent="0.25"/>
  <cols>
    <col min="1" max="1" width="6" customWidth="1"/>
    <col min="2" max="2" width="16.42578125" customWidth="1"/>
    <col min="3" max="3" width="47.5703125" customWidth="1"/>
    <col min="4" max="4" width="12.85546875" customWidth="1"/>
    <col min="5" max="5" width="9.28515625" customWidth="1"/>
    <col min="6" max="6" width="10.28515625" customWidth="1"/>
    <col min="7" max="7" width="9.140625" customWidth="1"/>
    <col min="8" max="8" width="12.85546875" customWidth="1"/>
    <col min="10" max="10" width="9.140625" bestFit="1" customWidth="1"/>
  </cols>
  <sheetData>
    <row r="1" spans="1:8" ht="15.75" x14ac:dyDescent="0.25">
      <c r="A1" s="206" t="s">
        <v>73</v>
      </c>
      <c r="C1" s="207" t="s">
        <v>74</v>
      </c>
      <c r="D1" s="208"/>
      <c r="E1" s="208"/>
      <c r="F1" s="208"/>
      <c r="G1" s="208"/>
      <c r="H1" s="208"/>
    </row>
    <row r="2" spans="1:8" x14ac:dyDescent="0.25">
      <c r="A2" s="209" t="s">
        <v>75</v>
      </c>
      <c r="B2" s="209"/>
      <c r="C2" s="209" t="s">
        <v>121</v>
      </c>
      <c r="D2" s="209"/>
      <c r="E2" s="209"/>
      <c r="F2" s="209"/>
      <c r="G2" s="209"/>
      <c r="H2" s="209"/>
    </row>
    <row r="3" spans="1:8" x14ac:dyDescent="0.25">
      <c r="A3" s="209" t="s">
        <v>76</v>
      </c>
      <c r="B3" s="209"/>
      <c r="C3" s="209"/>
      <c r="D3" s="210">
        <f>H38</f>
        <v>508.99557637240002</v>
      </c>
      <c r="E3" s="209" t="s">
        <v>77</v>
      </c>
      <c r="F3" s="209"/>
      <c r="G3" s="209"/>
      <c r="H3" s="209"/>
    </row>
    <row r="4" spans="1:8" x14ac:dyDescent="0.25">
      <c r="A4" s="209" t="s">
        <v>78</v>
      </c>
      <c r="B4" s="209"/>
      <c r="C4" s="209"/>
      <c r="D4" s="211"/>
      <c r="E4" s="209" t="s">
        <v>77</v>
      </c>
      <c r="F4" s="209"/>
      <c r="G4" s="209"/>
      <c r="H4" s="209"/>
    </row>
    <row r="5" spans="1:8" x14ac:dyDescent="0.25">
      <c r="A5" s="211"/>
      <c r="B5" s="211"/>
      <c r="C5" s="211" t="s">
        <v>127</v>
      </c>
      <c r="D5" s="211"/>
      <c r="E5" s="211"/>
      <c r="F5" s="211"/>
      <c r="G5" s="211"/>
      <c r="H5" s="211"/>
    </row>
    <row r="6" spans="1:8" x14ac:dyDescent="0.25">
      <c r="A6" s="212"/>
      <c r="B6" s="212"/>
      <c r="D6" s="213" t="s">
        <v>79</v>
      </c>
      <c r="E6" s="212"/>
      <c r="F6" s="209"/>
      <c r="G6" s="209"/>
      <c r="H6" s="209"/>
    </row>
    <row r="7" spans="1:8" x14ac:dyDescent="0.25">
      <c r="A7" s="209" t="s">
        <v>122</v>
      </c>
      <c r="B7" s="209"/>
      <c r="C7" s="209"/>
      <c r="D7" s="209"/>
      <c r="E7" s="209"/>
      <c r="F7" s="209"/>
      <c r="G7" s="209"/>
      <c r="H7" s="209"/>
    </row>
    <row r="8" spans="1:8" ht="20.25" x14ac:dyDescent="0.25">
      <c r="A8" s="265" t="s">
        <v>80</v>
      </c>
      <c r="B8" s="265"/>
      <c r="C8" s="265"/>
      <c r="D8" s="265"/>
      <c r="E8" s="265"/>
      <c r="F8" s="265"/>
      <c r="G8" s="265"/>
      <c r="H8" s="265"/>
    </row>
    <row r="9" spans="1:8" ht="46.5" customHeight="1" x14ac:dyDescent="0.25">
      <c r="A9" s="266" t="s">
        <v>136</v>
      </c>
      <c r="B9" s="266"/>
      <c r="C9" s="266"/>
      <c r="D9" s="266"/>
      <c r="E9" s="266"/>
      <c r="F9" s="266"/>
      <c r="G9" s="266"/>
      <c r="H9" s="266"/>
    </row>
    <row r="10" spans="1:8" x14ac:dyDescent="0.25">
      <c r="A10" s="267" t="s">
        <v>131</v>
      </c>
      <c r="B10" s="267"/>
      <c r="C10" s="267"/>
      <c r="D10" s="267"/>
      <c r="E10" s="267"/>
      <c r="F10" s="267"/>
      <c r="G10" s="267"/>
      <c r="H10" s="267"/>
    </row>
    <row r="11" spans="1:8" x14ac:dyDescent="0.25">
      <c r="A11" s="268" t="s">
        <v>81</v>
      </c>
      <c r="B11" s="270" t="s">
        <v>54</v>
      </c>
      <c r="C11" s="268" t="s">
        <v>55</v>
      </c>
      <c r="D11" s="272" t="s">
        <v>56</v>
      </c>
      <c r="E11" s="273"/>
      <c r="F11" s="273"/>
      <c r="G11" s="274"/>
      <c r="H11" s="268" t="s">
        <v>82</v>
      </c>
    </row>
    <row r="12" spans="1:8" ht="51" x14ac:dyDescent="0.25">
      <c r="A12" s="269"/>
      <c r="B12" s="271"/>
      <c r="C12" s="269"/>
      <c r="D12" s="214" t="s">
        <v>5</v>
      </c>
      <c r="E12" s="214" t="s">
        <v>6</v>
      </c>
      <c r="F12" s="214" t="s">
        <v>83</v>
      </c>
      <c r="G12" s="214" t="s">
        <v>8</v>
      </c>
      <c r="H12" s="269"/>
    </row>
    <row r="13" spans="1:8" x14ac:dyDescent="0.25">
      <c r="A13" s="215"/>
      <c r="B13" s="216">
        <v>2</v>
      </c>
      <c r="C13" s="215">
        <v>3</v>
      </c>
      <c r="D13" s="215">
        <v>4</v>
      </c>
      <c r="E13" s="215">
        <v>5</v>
      </c>
      <c r="F13" s="215">
        <v>6</v>
      </c>
      <c r="G13" s="215">
        <v>7</v>
      </c>
      <c r="H13" s="215">
        <v>8</v>
      </c>
    </row>
    <row r="14" spans="1:8" ht="25.5" x14ac:dyDescent="0.25">
      <c r="A14" s="215"/>
      <c r="B14" s="216"/>
      <c r="C14" s="217" t="s">
        <v>84</v>
      </c>
      <c r="D14" s="218"/>
      <c r="E14" s="218"/>
      <c r="F14" s="218"/>
      <c r="G14" s="218"/>
      <c r="H14" s="218"/>
    </row>
    <row r="15" spans="1:8" x14ac:dyDescent="0.25">
      <c r="A15" s="215"/>
      <c r="B15" s="219"/>
      <c r="C15" s="220"/>
      <c r="D15" s="229"/>
      <c r="E15" s="229"/>
      <c r="F15" s="229"/>
      <c r="G15" s="229">
        <v>0</v>
      </c>
      <c r="H15" s="221">
        <f>SUM(D15:G15)</f>
        <v>0</v>
      </c>
    </row>
    <row r="16" spans="1:8" x14ac:dyDescent="0.25">
      <c r="A16" s="215"/>
      <c r="B16" s="216"/>
      <c r="C16" s="222" t="s">
        <v>85</v>
      </c>
      <c r="D16" s="229">
        <f>SUM(D15:D15)</f>
        <v>0</v>
      </c>
      <c r="E16" s="229">
        <f>SUM(E15:E15)</f>
        <v>0</v>
      </c>
      <c r="F16" s="229">
        <f>SUM(F15:F15)</f>
        <v>0</v>
      </c>
      <c r="G16" s="229">
        <f>SUM(G15:G15)</f>
        <v>0</v>
      </c>
      <c r="H16" s="221">
        <f>SUM(D16:G16)</f>
        <v>0</v>
      </c>
    </row>
    <row r="17" spans="1:8" ht="25.5" x14ac:dyDescent="0.25">
      <c r="A17" s="223"/>
      <c r="B17" s="224"/>
      <c r="C17" s="217" t="s">
        <v>86</v>
      </c>
      <c r="D17" s="229"/>
      <c r="E17" s="229"/>
      <c r="F17" s="229"/>
      <c r="G17" s="229"/>
      <c r="H17" s="225"/>
    </row>
    <row r="18" spans="1:8" x14ac:dyDescent="0.25">
      <c r="A18" s="226"/>
      <c r="B18" s="227" t="s">
        <v>87</v>
      </c>
      <c r="C18" s="228" t="s">
        <v>126</v>
      </c>
      <c r="D18" s="229">
        <v>457.03356000000002</v>
      </c>
      <c r="E18" s="229"/>
      <c r="F18" s="229"/>
      <c r="G18" s="229"/>
      <c r="H18" s="230">
        <f>SUM(D18:G18)</f>
        <v>457.03356000000002</v>
      </c>
    </row>
    <row r="19" spans="1:8" x14ac:dyDescent="0.25">
      <c r="A19" s="226"/>
      <c r="B19" s="231"/>
      <c r="C19" s="232" t="s">
        <v>88</v>
      </c>
      <c r="D19" s="229">
        <f>SUM(D18:D18)</f>
        <v>457.03356000000002</v>
      </c>
      <c r="E19" s="229">
        <f>SUM(E18:E18)</f>
        <v>0</v>
      </c>
      <c r="F19" s="229">
        <f>SUM(F18:F18)</f>
        <v>0</v>
      </c>
      <c r="G19" s="229">
        <f>SUM(G18:G18)</f>
        <v>0</v>
      </c>
      <c r="H19" s="229">
        <f>SUM(D19:G19)</f>
        <v>457.03356000000002</v>
      </c>
    </row>
    <row r="20" spans="1:8" ht="25.5" x14ac:dyDescent="0.25">
      <c r="A20" s="223"/>
      <c r="B20" s="233"/>
      <c r="C20" s="234" t="s">
        <v>89</v>
      </c>
      <c r="D20" s="229"/>
      <c r="E20" s="229"/>
      <c r="F20" s="229"/>
      <c r="G20" s="229"/>
      <c r="H20" s="235"/>
    </row>
    <row r="21" spans="1:8" ht="25.5" x14ac:dyDescent="0.25">
      <c r="A21" s="226"/>
      <c r="B21" s="236" t="s">
        <v>57</v>
      </c>
      <c r="C21" s="237" t="s">
        <v>130</v>
      </c>
      <c r="D21" s="229">
        <v>0</v>
      </c>
      <c r="E21" s="229">
        <f>E19*2.5%</f>
        <v>0</v>
      </c>
      <c r="F21" s="229"/>
      <c r="G21" s="229"/>
      <c r="H21" s="230">
        <f>SUM(D21:G21)</f>
        <v>0</v>
      </c>
    </row>
    <row r="22" spans="1:8" x14ac:dyDescent="0.25">
      <c r="A22" s="226"/>
      <c r="B22" s="231"/>
      <c r="C22" s="239" t="s">
        <v>90</v>
      </c>
      <c r="D22" s="229">
        <f>D16+D19+D21</f>
        <v>457.03356000000002</v>
      </c>
      <c r="E22" s="229">
        <f>E16+E19+E21</f>
        <v>0</v>
      </c>
      <c r="F22" s="229">
        <f>F19</f>
        <v>0</v>
      </c>
      <c r="G22" s="229">
        <f>G16+G19+G21</f>
        <v>0</v>
      </c>
      <c r="H22" s="240">
        <f>SUM(D22:G22)</f>
        <v>457.03356000000002</v>
      </c>
    </row>
    <row r="23" spans="1:8" ht="25.5" x14ac:dyDescent="0.25">
      <c r="A23" s="223"/>
      <c r="B23" s="233"/>
      <c r="C23" s="234" t="s">
        <v>91</v>
      </c>
      <c r="D23" s="235"/>
      <c r="E23" s="235"/>
      <c r="F23" s="235"/>
      <c r="G23" s="235"/>
      <c r="H23" s="235"/>
    </row>
    <row r="24" spans="1:8" ht="38.25" x14ac:dyDescent="0.25">
      <c r="A24" s="226"/>
      <c r="B24" s="236" t="s">
        <v>58</v>
      </c>
      <c r="C24" s="237" t="s">
        <v>117</v>
      </c>
      <c r="D24" s="238">
        <v>0</v>
      </c>
      <c r="E24" s="238">
        <f>E22*3.19%</f>
        <v>0</v>
      </c>
      <c r="F24" s="230"/>
      <c r="G24" s="230"/>
      <c r="H24" s="230">
        <f>SUM(D24:G24)</f>
        <v>0</v>
      </c>
    </row>
    <row r="25" spans="1:8" x14ac:dyDescent="0.25">
      <c r="A25" s="226"/>
      <c r="B25" s="236"/>
      <c r="C25" s="237" t="s">
        <v>92</v>
      </c>
      <c r="D25" s="238">
        <v>0</v>
      </c>
      <c r="E25" s="238">
        <v>0</v>
      </c>
      <c r="F25" s="230"/>
      <c r="G25" s="230"/>
      <c r="H25" s="230">
        <f>SUM(D25:G25)</f>
        <v>0</v>
      </c>
    </row>
    <row r="26" spans="1:8" ht="45" x14ac:dyDescent="0.25">
      <c r="A26" s="226"/>
      <c r="B26" s="241" t="s">
        <v>93</v>
      </c>
      <c r="C26" s="232" t="s">
        <v>64</v>
      </c>
      <c r="D26" s="238"/>
      <c r="E26" s="238"/>
      <c r="F26" s="230"/>
      <c r="G26" s="230">
        <v>0</v>
      </c>
      <c r="H26" s="230">
        <f>SUM(D26:G26)</f>
        <v>0</v>
      </c>
    </row>
    <row r="27" spans="1:8" x14ac:dyDescent="0.25">
      <c r="A27" s="226"/>
      <c r="B27" s="231"/>
      <c r="C27" s="242" t="s">
        <v>94</v>
      </c>
      <c r="D27" s="229">
        <f>SUM(D24:D26)</f>
        <v>0</v>
      </c>
      <c r="E27" s="229">
        <f>SUM(E24:E26)</f>
        <v>0</v>
      </c>
      <c r="F27" s="229">
        <f>SUM(F24:F26)</f>
        <v>0</v>
      </c>
      <c r="G27" s="229">
        <f>SUM(G24:G26)</f>
        <v>0</v>
      </c>
      <c r="H27" s="230">
        <f>SUM(D27:G27)</f>
        <v>0</v>
      </c>
    </row>
    <row r="28" spans="1:8" x14ac:dyDescent="0.25">
      <c r="A28" s="226"/>
      <c r="B28" s="231"/>
      <c r="C28" s="239" t="s">
        <v>95</v>
      </c>
      <c r="D28" s="229">
        <f>D22+D27</f>
        <v>457.03356000000002</v>
      </c>
      <c r="E28" s="229">
        <f>E22+E27</f>
        <v>0</v>
      </c>
      <c r="F28" s="229">
        <f>F19</f>
        <v>0</v>
      </c>
      <c r="G28" s="229">
        <f>G16+G27</f>
        <v>0</v>
      </c>
      <c r="H28" s="229">
        <f>SUM(D28:G28)</f>
        <v>457.03356000000002</v>
      </c>
    </row>
    <row r="29" spans="1:8" ht="51" x14ac:dyDescent="0.25">
      <c r="A29" s="223"/>
      <c r="B29" s="233"/>
      <c r="C29" s="234" t="s">
        <v>96</v>
      </c>
      <c r="D29" s="235"/>
      <c r="E29" s="235"/>
      <c r="F29" s="235"/>
      <c r="G29" s="235"/>
      <c r="H29" s="235"/>
    </row>
    <row r="30" spans="1:8" ht="45" x14ac:dyDescent="0.25">
      <c r="A30" s="226"/>
      <c r="B30" s="243" t="s">
        <v>118</v>
      </c>
      <c r="C30" s="244" t="s">
        <v>97</v>
      </c>
      <c r="D30" s="230"/>
      <c r="E30" s="230"/>
      <c r="F30" s="230"/>
      <c r="G30" s="230">
        <f>H28*2.14%</f>
        <v>9.7805181840000017</v>
      </c>
      <c r="H30" s="230">
        <f>SUM(D30:G30)</f>
        <v>9.7805181840000017</v>
      </c>
    </row>
    <row r="31" spans="1:8" ht="45" x14ac:dyDescent="0.25">
      <c r="A31" s="226"/>
      <c r="B31" s="243" t="s">
        <v>118</v>
      </c>
      <c r="C31" s="262" t="s">
        <v>119</v>
      </c>
      <c r="D31" s="230"/>
      <c r="E31" s="230"/>
      <c r="F31" s="230"/>
      <c r="G31" s="230">
        <f>H28*2.16%</f>
        <v>9.8719248960000012</v>
      </c>
      <c r="H31" s="230">
        <f>G31</f>
        <v>9.8719248960000012</v>
      </c>
    </row>
    <row r="32" spans="1:8" x14ac:dyDescent="0.25">
      <c r="A32" s="226"/>
      <c r="B32" s="236"/>
      <c r="C32" s="239" t="s">
        <v>98</v>
      </c>
      <c r="D32" s="230"/>
      <c r="E32" s="230"/>
      <c r="F32" s="230"/>
      <c r="G32" s="230">
        <f>G30+G31</f>
        <v>19.652443080000005</v>
      </c>
      <c r="H32" s="230">
        <f>G32</f>
        <v>19.652443080000005</v>
      </c>
    </row>
    <row r="33" spans="1:11" ht="25.5" x14ac:dyDescent="0.25">
      <c r="A33" s="223"/>
      <c r="B33" s="233"/>
      <c r="C33" s="234" t="s">
        <v>99</v>
      </c>
      <c r="D33" s="235"/>
      <c r="E33" s="235"/>
      <c r="F33" s="235"/>
      <c r="G33" s="235"/>
      <c r="H33" s="235"/>
      <c r="J33" s="168"/>
    </row>
    <row r="34" spans="1:11" ht="25.5" customHeight="1" x14ac:dyDescent="0.25">
      <c r="A34" s="245"/>
      <c r="B34" s="246"/>
      <c r="C34" s="247" t="s">
        <v>100</v>
      </c>
      <c r="D34" s="248"/>
      <c r="E34" s="248"/>
      <c r="F34" s="248"/>
      <c r="G34" s="248">
        <v>31.72</v>
      </c>
      <c r="H34" s="248">
        <f>G34</f>
        <v>31.72</v>
      </c>
    </row>
    <row r="35" spans="1:11" x14ac:dyDescent="0.25">
      <c r="A35" s="226"/>
      <c r="B35" s="231"/>
      <c r="C35" s="249" t="s">
        <v>101</v>
      </c>
      <c r="D35" s="229">
        <f>SUM(D34)</f>
        <v>0</v>
      </c>
      <c r="E35" s="229">
        <f>SUM(E34)</f>
        <v>0</v>
      </c>
      <c r="F35" s="229">
        <f>SUM(F34)</f>
        <v>0</v>
      </c>
      <c r="G35" s="229">
        <f>SUM(G34)</f>
        <v>31.72</v>
      </c>
      <c r="H35" s="229">
        <f>SUM(H34)</f>
        <v>31.72</v>
      </c>
      <c r="K35" s="250"/>
    </row>
    <row r="36" spans="1:11" x14ac:dyDescent="0.25">
      <c r="A36" s="226"/>
      <c r="B36" s="231"/>
      <c r="C36" s="249" t="s">
        <v>102</v>
      </c>
      <c r="D36" s="229">
        <f>D28+D35</f>
        <v>457.03356000000002</v>
      </c>
      <c r="E36" s="229">
        <f>E28+E35</f>
        <v>0</v>
      </c>
      <c r="F36" s="229">
        <f>F28</f>
        <v>0</v>
      </c>
      <c r="G36" s="229">
        <f>G35+G32+G28</f>
        <v>51.372443080000004</v>
      </c>
      <c r="H36" s="229">
        <f>SUM(D36:G36)</f>
        <v>508.40600308</v>
      </c>
    </row>
    <row r="37" spans="1:11" ht="25.5" x14ac:dyDescent="0.25">
      <c r="A37" s="226"/>
      <c r="B37" s="251" t="s">
        <v>103</v>
      </c>
      <c r="C37" s="252" t="s">
        <v>104</v>
      </c>
      <c r="D37" s="230">
        <v>0</v>
      </c>
      <c r="E37" s="230">
        <f>E36*0.03</f>
        <v>0</v>
      </c>
      <c r="F37" s="230">
        <f>F36*0.03</f>
        <v>0</v>
      </c>
      <c r="G37" s="230">
        <f>(G36-G35)*0.03</f>
        <v>0.58957329240000012</v>
      </c>
      <c r="H37" s="230">
        <f>SUM(D37:G37)</f>
        <v>0.58957329240000012</v>
      </c>
    </row>
    <row r="38" spans="1:11" x14ac:dyDescent="0.25">
      <c r="A38" s="223"/>
      <c r="B38" s="253"/>
      <c r="C38" s="234" t="s">
        <v>105</v>
      </c>
      <c r="D38" s="254">
        <f>SUM(D36+D37)</f>
        <v>457.03356000000002</v>
      </c>
      <c r="E38" s="254">
        <f>SUM(E36+E37)</f>
        <v>0</v>
      </c>
      <c r="F38" s="254">
        <f>SUM(F36+F37)</f>
        <v>0</v>
      </c>
      <c r="G38" s="254">
        <f>SUM(G36+G37)</f>
        <v>51.962016372400001</v>
      </c>
      <c r="H38" s="254">
        <f>SUM(D38:G38)</f>
        <v>508.99557637240002</v>
      </c>
      <c r="I38" s="255"/>
    </row>
    <row r="39" spans="1:11" ht="51" x14ac:dyDescent="0.25">
      <c r="A39" s="226"/>
      <c r="B39" s="251" t="s">
        <v>106</v>
      </c>
      <c r="C39" s="256" t="s">
        <v>34</v>
      </c>
      <c r="D39" s="230">
        <v>0</v>
      </c>
      <c r="E39" s="230">
        <f>E38*18%</f>
        <v>0</v>
      </c>
      <c r="F39" s="230">
        <f>F38*18%</f>
        <v>0</v>
      </c>
      <c r="G39" s="230">
        <f>(G38-G35)*18%</f>
        <v>3.6435629470320001</v>
      </c>
      <c r="H39" s="230">
        <f>SUM(D39:G39)</f>
        <v>3.6435629470320001</v>
      </c>
    </row>
    <row r="40" spans="1:11" x14ac:dyDescent="0.25">
      <c r="A40" s="223"/>
      <c r="B40" s="257"/>
      <c r="C40" s="258" t="s">
        <v>107</v>
      </c>
      <c r="D40" s="254">
        <f>SUM(D38:D39)</f>
        <v>457.03356000000002</v>
      </c>
      <c r="E40" s="254">
        <f>SUM(E38:E39)</f>
        <v>0</v>
      </c>
      <c r="F40" s="254">
        <f>SUM(F38:F39)</f>
        <v>0</v>
      </c>
      <c r="G40" s="254">
        <f>SUM(G38:G39)</f>
        <v>55.605579319432003</v>
      </c>
      <c r="H40" s="254">
        <f>SUM(D40:G40)</f>
        <v>512.63913931943205</v>
      </c>
    </row>
    <row r="41" spans="1:11" ht="26.25" customHeight="1" x14ac:dyDescent="0.25">
      <c r="A41" s="264"/>
      <c r="B41" s="264"/>
      <c r="C41" s="264"/>
      <c r="D41" s="264"/>
      <c r="E41" s="264"/>
      <c r="F41" s="264"/>
      <c r="G41" s="264"/>
      <c r="H41" s="264"/>
    </row>
    <row r="42" spans="1:11" x14ac:dyDescent="0.25">
      <c r="A42" s="259"/>
      <c r="B42" s="259" t="s">
        <v>108</v>
      </c>
      <c r="C42" s="260"/>
      <c r="D42" s="259"/>
      <c r="E42" s="259"/>
      <c r="F42" s="259"/>
      <c r="G42" s="259"/>
      <c r="H42" s="259"/>
    </row>
    <row r="43" spans="1:11" x14ac:dyDescent="0.25">
      <c r="A43" s="259"/>
      <c r="B43" s="261"/>
      <c r="C43" s="259"/>
      <c r="D43" s="259"/>
      <c r="E43" s="259"/>
      <c r="F43" s="259"/>
      <c r="G43" s="259"/>
      <c r="H43" s="259"/>
    </row>
    <row r="44" spans="1:11" x14ac:dyDescent="0.25">
      <c r="A44" s="259"/>
      <c r="B44" s="261"/>
      <c r="C44" s="259"/>
      <c r="D44" s="259"/>
      <c r="E44" s="259"/>
      <c r="F44" s="259"/>
      <c r="G44" s="259"/>
      <c r="H44" s="259"/>
    </row>
    <row r="45" spans="1:11" x14ac:dyDescent="0.25">
      <c r="A45" s="259"/>
      <c r="B45" s="259" t="s">
        <v>109</v>
      </c>
      <c r="C45" s="260"/>
      <c r="D45" s="259"/>
      <c r="E45" s="259"/>
      <c r="F45" s="259"/>
      <c r="G45" s="259"/>
      <c r="H45" s="259"/>
    </row>
    <row r="46" spans="1:11" x14ac:dyDescent="0.25">
      <c r="A46" s="259"/>
      <c r="B46" s="261"/>
      <c r="C46" s="259"/>
      <c r="D46" s="259"/>
      <c r="E46" s="259"/>
      <c r="F46" s="259"/>
      <c r="G46" s="259"/>
      <c r="H46" s="259"/>
    </row>
    <row r="47" spans="1:11" x14ac:dyDescent="0.25">
      <c r="A47" s="259"/>
      <c r="B47" s="261"/>
      <c r="C47" s="259"/>
      <c r="D47" s="259"/>
      <c r="E47" s="259"/>
      <c r="F47" s="259"/>
      <c r="G47" s="259"/>
      <c r="H47" s="259"/>
    </row>
    <row r="48" spans="1:11" x14ac:dyDescent="0.25">
      <c r="A48" s="259"/>
      <c r="B48" s="259"/>
      <c r="C48" s="260"/>
      <c r="D48" s="259"/>
      <c r="E48" s="259"/>
      <c r="F48" s="259"/>
      <c r="G48" s="259"/>
      <c r="H48" s="259"/>
    </row>
    <row r="49" spans="1:8" x14ac:dyDescent="0.25">
      <c r="A49" s="259"/>
      <c r="B49" s="261"/>
      <c r="C49" s="259"/>
      <c r="D49" s="259"/>
      <c r="E49" s="259"/>
      <c r="F49" s="259"/>
      <c r="G49" s="259"/>
      <c r="H49" s="259"/>
    </row>
    <row r="50" spans="1:8" x14ac:dyDescent="0.25">
      <c r="A50" s="259"/>
      <c r="B50" s="261"/>
      <c r="C50" s="259"/>
      <c r="D50" s="259"/>
      <c r="E50" s="259"/>
      <c r="F50" s="259"/>
      <c r="G50" s="259"/>
      <c r="H50" s="259"/>
    </row>
    <row r="51" spans="1:8" x14ac:dyDescent="0.25">
      <c r="A51" s="259"/>
      <c r="B51" s="259"/>
      <c r="C51" s="260"/>
      <c r="D51" s="259"/>
      <c r="E51" s="259"/>
      <c r="F51" s="259"/>
      <c r="G51" s="259"/>
      <c r="H51" s="259"/>
    </row>
  </sheetData>
  <mergeCells count="9">
    <mergeCell ref="A41:H41"/>
    <mergeCell ref="A8:H8"/>
    <mergeCell ref="A9:H9"/>
    <mergeCell ref="A10:H10"/>
    <mergeCell ref="A11:A12"/>
    <mergeCell ref="B11:B12"/>
    <mergeCell ref="C11:C12"/>
    <mergeCell ref="D11:G11"/>
    <mergeCell ref="H11:H1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workbookViewId="0">
      <selection activeCell="A9" sqref="A9:H9"/>
    </sheetView>
  </sheetViews>
  <sheetFormatPr defaultRowHeight="15" x14ac:dyDescent="0.25"/>
  <cols>
    <col min="1" max="1" width="6" customWidth="1"/>
    <col min="2" max="2" width="16.42578125" customWidth="1"/>
    <col min="3" max="3" width="47.5703125" customWidth="1"/>
    <col min="4" max="4" width="12.85546875" customWidth="1"/>
    <col min="5" max="5" width="10.42578125" customWidth="1"/>
    <col min="6" max="6" width="9.7109375" customWidth="1"/>
    <col min="7" max="7" width="10.5703125" customWidth="1"/>
    <col min="8" max="8" width="12.85546875" customWidth="1"/>
  </cols>
  <sheetData>
    <row r="1" spans="1:8" ht="15.75" x14ac:dyDescent="0.25">
      <c r="A1" s="206" t="s">
        <v>73</v>
      </c>
      <c r="C1" s="207" t="str">
        <f>[1]тек!C1</f>
        <v>ПО "Южные электрические сети" филиала ПАО "МРСК Северо-Запада" "Комиэнерго"</v>
      </c>
      <c r="D1" s="208"/>
      <c r="E1" s="208"/>
      <c r="F1" s="208"/>
      <c r="G1" s="208"/>
      <c r="H1" s="208"/>
    </row>
    <row r="2" spans="1:8" x14ac:dyDescent="0.25">
      <c r="A2" s="209" t="s">
        <v>75</v>
      </c>
      <c r="B2" s="209"/>
      <c r="C2" s="209" t="s">
        <v>121</v>
      </c>
      <c r="D2" s="209"/>
      <c r="E2" s="209"/>
      <c r="F2" s="209"/>
      <c r="G2" s="209"/>
      <c r="H2" s="209"/>
    </row>
    <row r="3" spans="1:8" x14ac:dyDescent="0.25">
      <c r="A3" s="209" t="s">
        <v>76</v>
      </c>
      <c r="B3" s="209"/>
      <c r="C3" s="209"/>
      <c r="D3" s="210">
        <f>H38</f>
        <v>106.43771508135092</v>
      </c>
      <c r="E3" s="209" t="s">
        <v>77</v>
      </c>
      <c r="F3" s="209"/>
      <c r="G3" s="209"/>
      <c r="H3" s="209"/>
    </row>
    <row r="4" spans="1:8" x14ac:dyDescent="0.25">
      <c r="A4" s="209" t="s">
        <v>78</v>
      </c>
      <c r="B4" s="209"/>
      <c r="C4" s="209"/>
      <c r="D4" s="211"/>
      <c r="E4" s="209" t="s">
        <v>77</v>
      </c>
      <c r="F4" s="209"/>
      <c r="G4" s="209"/>
      <c r="H4" s="209"/>
    </row>
    <row r="5" spans="1:8" x14ac:dyDescent="0.25">
      <c r="A5" s="211"/>
      <c r="B5" s="211"/>
      <c r="C5" s="211" t="s">
        <v>127</v>
      </c>
      <c r="D5" s="211"/>
      <c r="E5" s="211"/>
      <c r="F5" s="211"/>
      <c r="G5" s="211"/>
      <c r="H5" s="211"/>
    </row>
    <row r="6" spans="1:8" x14ac:dyDescent="0.25">
      <c r="A6" s="212"/>
      <c r="B6" s="212"/>
      <c r="D6" s="213" t="s">
        <v>79</v>
      </c>
      <c r="E6" s="212"/>
      <c r="F6" s="209"/>
      <c r="G6" s="209"/>
      <c r="H6" s="209"/>
    </row>
    <row r="7" spans="1:8" x14ac:dyDescent="0.25">
      <c r="A7" s="209" t="s">
        <v>122</v>
      </c>
      <c r="B7" s="209"/>
      <c r="C7" s="209"/>
      <c r="D7" s="209"/>
      <c r="E7" s="209"/>
      <c r="F7" s="209"/>
      <c r="G7" s="209"/>
      <c r="H7" s="209"/>
    </row>
    <row r="8" spans="1:8" ht="20.25" customHeight="1" x14ac:dyDescent="0.25">
      <c r="A8" s="265" t="s">
        <v>80</v>
      </c>
      <c r="B8" s="265"/>
      <c r="C8" s="265"/>
      <c r="D8" s="265"/>
      <c r="E8" s="265"/>
      <c r="F8" s="265"/>
      <c r="G8" s="265"/>
      <c r="H8" s="265"/>
    </row>
    <row r="9" spans="1:8" ht="44.25" customHeight="1" x14ac:dyDescent="0.25">
      <c r="A9" s="266" t="s">
        <v>135</v>
      </c>
      <c r="B9" s="266"/>
      <c r="C9" s="266"/>
      <c r="D9" s="266"/>
      <c r="E9" s="266"/>
      <c r="F9" s="266"/>
      <c r="G9" s="266"/>
      <c r="H9" s="266"/>
    </row>
    <row r="10" spans="1:8" ht="12.75" customHeight="1" x14ac:dyDescent="0.25">
      <c r="A10" s="267" t="s">
        <v>110</v>
      </c>
      <c r="B10" s="267"/>
      <c r="C10" s="267"/>
      <c r="D10" s="267"/>
      <c r="E10" s="267"/>
      <c r="F10" s="267"/>
      <c r="G10" s="267"/>
      <c r="H10" s="267"/>
    </row>
    <row r="11" spans="1:8" ht="12.75" customHeight="1" x14ac:dyDescent="0.25">
      <c r="A11" s="268" t="s">
        <v>81</v>
      </c>
      <c r="B11" s="270" t="s">
        <v>54</v>
      </c>
      <c r="C11" s="268" t="s">
        <v>55</v>
      </c>
      <c r="D11" s="272" t="s">
        <v>56</v>
      </c>
      <c r="E11" s="273"/>
      <c r="F11" s="273"/>
      <c r="G11" s="274"/>
      <c r="H11" s="268" t="s">
        <v>82</v>
      </c>
    </row>
    <row r="12" spans="1:8" ht="51" x14ac:dyDescent="0.25">
      <c r="A12" s="269"/>
      <c r="B12" s="271"/>
      <c r="C12" s="269"/>
      <c r="D12" s="214" t="s">
        <v>5</v>
      </c>
      <c r="E12" s="214" t="s">
        <v>6</v>
      </c>
      <c r="F12" s="214" t="s">
        <v>83</v>
      </c>
      <c r="G12" s="214" t="s">
        <v>8</v>
      </c>
      <c r="H12" s="269"/>
    </row>
    <row r="13" spans="1:8" x14ac:dyDescent="0.25">
      <c r="A13" s="215">
        <v>1</v>
      </c>
      <c r="B13" s="216">
        <v>2</v>
      </c>
      <c r="C13" s="215">
        <v>3</v>
      </c>
      <c r="D13" s="215">
        <v>4</v>
      </c>
      <c r="E13" s="215">
        <v>5</v>
      </c>
      <c r="F13" s="215">
        <v>6</v>
      </c>
      <c r="G13" s="215">
        <v>7</v>
      </c>
      <c r="H13" s="215">
        <v>8</v>
      </c>
    </row>
    <row r="14" spans="1:8" ht="41.25" customHeight="1" x14ac:dyDescent="0.25">
      <c r="A14" s="215"/>
      <c r="B14" s="216"/>
      <c r="C14" s="217" t="s">
        <v>84</v>
      </c>
      <c r="D14" s="218"/>
      <c r="E14" s="218"/>
      <c r="F14" s="218"/>
      <c r="G14" s="218"/>
      <c r="H14" s="218"/>
    </row>
    <row r="15" spans="1:8" x14ac:dyDescent="0.25">
      <c r="A15" s="215"/>
      <c r="B15" s="219"/>
      <c r="C15" s="220"/>
      <c r="D15" s="238"/>
      <c r="E15" s="238"/>
      <c r="F15" s="238"/>
      <c r="G15" s="238">
        <v>0</v>
      </c>
      <c r="H15" s="238">
        <f>SUM(D15:G15)</f>
        <v>0</v>
      </c>
    </row>
    <row r="16" spans="1:8" ht="15.75" customHeight="1" x14ac:dyDescent="0.25">
      <c r="A16" s="215"/>
      <c r="B16" s="216"/>
      <c r="C16" s="222" t="s">
        <v>111</v>
      </c>
      <c r="D16" s="238">
        <f>SUM(D15:D15)</f>
        <v>0</v>
      </c>
      <c r="E16" s="238">
        <f>SUM(E15:E15)</f>
        <v>0</v>
      </c>
      <c r="F16" s="238">
        <f>SUM(F15:F15)</f>
        <v>0</v>
      </c>
      <c r="G16" s="238">
        <f>SUM(G15:G15)</f>
        <v>0</v>
      </c>
      <c r="H16" s="238">
        <f>SUM(D16:G16)</f>
        <v>0</v>
      </c>
    </row>
    <row r="17" spans="1:8" ht="25.5" x14ac:dyDescent="0.25">
      <c r="A17" s="223"/>
      <c r="B17" s="224"/>
      <c r="C17" s="217" t="s">
        <v>86</v>
      </c>
      <c r="D17" s="238"/>
      <c r="E17" s="238"/>
      <c r="F17" s="238"/>
      <c r="G17" s="238"/>
      <c r="H17" s="238"/>
    </row>
    <row r="18" spans="1:8" x14ac:dyDescent="0.25">
      <c r="A18" s="226"/>
      <c r="B18" s="227" t="s">
        <v>87</v>
      </c>
      <c r="C18" s="228" t="s">
        <v>126</v>
      </c>
      <c r="D18" s="238">
        <f>457.03356/4.85</f>
        <v>94.233723711340218</v>
      </c>
      <c r="E18" s="238">
        <v>0</v>
      </c>
      <c r="F18" s="238"/>
      <c r="G18" s="238"/>
      <c r="H18" s="238">
        <f>SUM(D18:G18)</f>
        <v>94.233723711340218</v>
      </c>
    </row>
    <row r="19" spans="1:8" x14ac:dyDescent="0.25">
      <c r="A19" s="226"/>
      <c r="B19" s="231"/>
      <c r="C19" s="239" t="s">
        <v>112</v>
      </c>
      <c r="D19" s="238">
        <f>SUM(D18:D18)</f>
        <v>94.233723711340218</v>
      </c>
      <c r="E19" s="238">
        <f>SUM(E18:E18)</f>
        <v>0</v>
      </c>
      <c r="F19" s="238">
        <f>SUM(F18:F18)</f>
        <v>0</v>
      </c>
      <c r="G19" s="238">
        <f>SUM(G18:G18)</f>
        <v>0</v>
      </c>
      <c r="H19" s="238">
        <f>SUM(D19:G19)</f>
        <v>94.233723711340218</v>
      </c>
    </row>
    <row r="20" spans="1:8" ht="25.5" x14ac:dyDescent="0.25">
      <c r="A20" s="223"/>
      <c r="B20" s="233"/>
      <c r="C20" s="234" t="s">
        <v>89</v>
      </c>
      <c r="D20" s="238"/>
      <c r="E20" s="238"/>
      <c r="F20" s="238"/>
      <c r="G20" s="238"/>
      <c r="H20" s="238"/>
    </row>
    <row r="21" spans="1:8" ht="25.5" x14ac:dyDescent="0.25">
      <c r="A21" s="226"/>
      <c r="B21" s="236" t="s">
        <v>57</v>
      </c>
      <c r="C21" s="237" t="s">
        <v>53</v>
      </c>
      <c r="D21" s="238">
        <v>0</v>
      </c>
      <c r="E21" s="238">
        <f>E19*2.5%</f>
        <v>0</v>
      </c>
      <c r="F21" s="238"/>
      <c r="G21" s="238"/>
      <c r="H21" s="238">
        <f>SUM(D21:G21)</f>
        <v>0</v>
      </c>
    </row>
    <row r="22" spans="1:8" x14ac:dyDescent="0.25">
      <c r="A22" s="226"/>
      <c r="B22" s="231"/>
      <c r="C22" s="239" t="s">
        <v>90</v>
      </c>
      <c r="D22" s="238">
        <f>D16+D19+D21</f>
        <v>94.233723711340218</v>
      </c>
      <c r="E22" s="238">
        <f>E16+E19+E21</f>
        <v>0</v>
      </c>
      <c r="F22" s="238">
        <f>F19</f>
        <v>0</v>
      </c>
      <c r="G22" s="238">
        <f>G16+G19+G21</f>
        <v>0</v>
      </c>
      <c r="H22" s="238">
        <f>SUM(D22:G22)</f>
        <v>94.233723711340218</v>
      </c>
    </row>
    <row r="23" spans="1:8" ht="25.5" x14ac:dyDescent="0.25">
      <c r="A23" s="223"/>
      <c r="B23" s="233"/>
      <c r="C23" s="234" t="s">
        <v>91</v>
      </c>
      <c r="D23" s="235"/>
      <c r="E23" s="235"/>
      <c r="F23" s="235"/>
      <c r="G23" s="235"/>
      <c r="H23" s="238"/>
    </row>
    <row r="24" spans="1:8" ht="38.25" x14ac:dyDescent="0.25">
      <c r="A24" s="226"/>
      <c r="B24" s="236" t="s">
        <v>58</v>
      </c>
      <c r="C24" s="237" t="s">
        <v>113</v>
      </c>
      <c r="D24" s="238">
        <v>0</v>
      </c>
      <c r="E24" s="238">
        <f>E22*3.19%</f>
        <v>0</v>
      </c>
      <c r="F24" s="230"/>
      <c r="G24" s="230"/>
      <c r="H24" s="230">
        <f>SUM(D24:G24)</f>
        <v>0</v>
      </c>
    </row>
    <row r="25" spans="1:8" x14ac:dyDescent="0.25">
      <c r="A25" s="226"/>
      <c r="B25" s="236"/>
      <c r="C25" s="237" t="s">
        <v>92</v>
      </c>
      <c r="D25" s="238">
        <v>0</v>
      </c>
      <c r="E25" s="238">
        <v>0</v>
      </c>
      <c r="F25" s="230"/>
      <c r="G25" s="230"/>
      <c r="H25" s="230">
        <f>SUM(D25:G25)</f>
        <v>0</v>
      </c>
    </row>
    <row r="26" spans="1:8" ht="30" x14ac:dyDescent="0.25">
      <c r="A26" s="226"/>
      <c r="B26" s="241" t="s">
        <v>114</v>
      </c>
      <c r="C26" s="232" t="s">
        <v>64</v>
      </c>
      <c r="D26" s="238"/>
      <c r="E26" s="238"/>
      <c r="F26" s="230"/>
      <c r="G26" s="230">
        <v>0</v>
      </c>
      <c r="H26" s="230">
        <f>SUM(D26:G26)</f>
        <v>0</v>
      </c>
    </row>
    <row r="27" spans="1:8" x14ac:dyDescent="0.25">
      <c r="A27" s="226"/>
      <c r="B27" s="231"/>
      <c r="C27" s="242" t="s">
        <v>94</v>
      </c>
      <c r="D27" s="229">
        <f>SUM(D24:D26)</f>
        <v>0</v>
      </c>
      <c r="E27" s="229">
        <f>SUM(E24:E26)</f>
        <v>0</v>
      </c>
      <c r="F27" s="229">
        <f>SUM(F24:F26)</f>
        <v>0</v>
      </c>
      <c r="G27" s="229">
        <f>SUM(G24:G26)</f>
        <v>0</v>
      </c>
      <c r="H27" s="230">
        <f>SUM(D27:G27)</f>
        <v>0</v>
      </c>
    </row>
    <row r="28" spans="1:8" x14ac:dyDescent="0.25">
      <c r="A28" s="226"/>
      <c r="B28" s="231"/>
      <c r="C28" s="239" t="s">
        <v>95</v>
      </c>
      <c r="D28" s="229">
        <f>D22+D27</f>
        <v>94.233723711340218</v>
      </c>
      <c r="E28" s="229">
        <f>E22+E27</f>
        <v>0</v>
      </c>
      <c r="F28" s="229">
        <f>F19</f>
        <v>0</v>
      </c>
      <c r="G28" s="229">
        <f>G16+G27</f>
        <v>0</v>
      </c>
      <c r="H28" s="229">
        <f>SUM(D28:G28)</f>
        <v>94.233723711340218</v>
      </c>
    </row>
    <row r="29" spans="1:8" ht="51" x14ac:dyDescent="0.25">
      <c r="A29" s="223"/>
      <c r="B29" s="233"/>
      <c r="C29" s="234" t="s">
        <v>96</v>
      </c>
      <c r="D29" s="235"/>
      <c r="E29" s="235"/>
      <c r="F29" s="235"/>
      <c r="G29" s="235"/>
      <c r="H29" s="235"/>
    </row>
    <row r="30" spans="1:8" ht="45" x14ac:dyDescent="0.25">
      <c r="A30" s="226"/>
      <c r="B30" s="243" t="s">
        <v>118</v>
      </c>
      <c r="C30" s="244" t="s">
        <v>97</v>
      </c>
      <c r="D30" s="230"/>
      <c r="E30" s="230"/>
      <c r="F30" s="230"/>
      <c r="G30" s="230">
        <f>H28*2.14%</f>
        <v>2.0166016874226811</v>
      </c>
      <c r="H30" s="230">
        <f>SUM(D30:G30)</f>
        <v>2.0166016874226811</v>
      </c>
    </row>
    <row r="31" spans="1:8" ht="45" x14ac:dyDescent="0.25">
      <c r="A31" s="226"/>
      <c r="B31" s="243" t="s">
        <v>118</v>
      </c>
      <c r="C31" s="262" t="s">
        <v>119</v>
      </c>
      <c r="D31" s="230"/>
      <c r="E31" s="230"/>
      <c r="F31" s="230"/>
      <c r="G31" s="230">
        <f>H28*2.16%</f>
        <v>2.0354484321649489</v>
      </c>
      <c r="H31" s="230">
        <f>G31</f>
        <v>2.0354484321649489</v>
      </c>
    </row>
    <row r="32" spans="1:8" ht="12.75" customHeight="1" x14ac:dyDescent="0.25">
      <c r="A32" s="226"/>
      <c r="B32" s="236"/>
      <c r="C32" s="239" t="s">
        <v>98</v>
      </c>
      <c r="D32" s="230"/>
      <c r="E32" s="230"/>
      <c r="F32" s="230"/>
      <c r="G32" s="230">
        <f>G30+G31</f>
        <v>4.05205011958763</v>
      </c>
      <c r="H32" s="230">
        <f>G32</f>
        <v>4.05205011958763</v>
      </c>
    </row>
    <row r="33" spans="1:8" ht="28.5" customHeight="1" x14ac:dyDescent="0.25">
      <c r="A33" s="223"/>
      <c r="B33" s="233"/>
      <c r="C33" s="234" t="s">
        <v>99</v>
      </c>
      <c r="D33" s="235"/>
      <c r="E33" s="235"/>
      <c r="F33" s="235"/>
      <c r="G33" s="235"/>
      <c r="H33" s="235"/>
    </row>
    <row r="34" spans="1:8" ht="21" customHeight="1" x14ac:dyDescent="0.25">
      <c r="A34" s="245"/>
      <c r="B34" s="246"/>
      <c r="C34" s="247" t="s">
        <v>100</v>
      </c>
      <c r="D34" s="248"/>
      <c r="E34" s="248"/>
      <c r="F34" s="248"/>
      <c r="G34" s="248">
        <f>31.72/3.95</f>
        <v>8.0303797468354432</v>
      </c>
      <c r="H34" s="248">
        <f>G34</f>
        <v>8.0303797468354432</v>
      </c>
    </row>
    <row r="35" spans="1:8" x14ac:dyDescent="0.25">
      <c r="A35" s="226"/>
      <c r="B35" s="231"/>
      <c r="C35" s="249" t="s">
        <v>101</v>
      </c>
      <c r="D35" s="229">
        <f>SUM(D34)</f>
        <v>0</v>
      </c>
      <c r="E35" s="229">
        <f>SUM(E34)</f>
        <v>0</v>
      </c>
      <c r="F35" s="229">
        <f>SUM(F34)</f>
        <v>0</v>
      </c>
      <c r="G35" s="229">
        <f>SUM(G34)</f>
        <v>8.0303797468354432</v>
      </c>
      <c r="H35" s="229">
        <f>SUM(H34)</f>
        <v>8.0303797468354432</v>
      </c>
    </row>
    <row r="36" spans="1:8" x14ac:dyDescent="0.25">
      <c r="A36" s="226"/>
      <c r="B36" s="231"/>
      <c r="C36" s="249" t="s">
        <v>102</v>
      </c>
      <c r="D36" s="229">
        <f>D28+D35</f>
        <v>94.233723711340218</v>
      </c>
      <c r="E36" s="229">
        <f>E28+E35</f>
        <v>0</v>
      </c>
      <c r="F36" s="229">
        <f>F28+F35</f>
        <v>0</v>
      </c>
      <c r="G36" s="229">
        <f>G35+G32+G28</f>
        <v>12.082429866423073</v>
      </c>
      <c r="H36" s="229">
        <f>SUM(D36:G36)</f>
        <v>106.31615357776329</v>
      </c>
    </row>
    <row r="37" spans="1:8" ht="25.5" x14ac:dyDescent="0.25">
      <c r="A37" s="226"/>
      <c r="B37" s="251" t="s">
        <v>103</v>
      </c>
      <c r="C37" s="252" t="s">
        <v>104</v>
      </c>
      <c r="D37" s="230">
        <v>0</v>
      </c>
      <c r="E37" s="230">
        <f>E36*0.03</f>
        <v>0</v>
      </c>
      <c r="F37" s="230">
        <f>F36*0.03</f>
        <v>0</v>
      </c>
      <c r="G37" s="230">
        <f>(G36-G35)*0.03</f>
        <v>0.12156150358762889</v>
      </c>
      <c r="H37" s="230">
        <f>SUM(D37:G37)</f>
        <v>0.12156150358762889</v>
      </c>
    </row>
    <row r="38" spans="1:8" x14ac:dyDescent="0.25">
      <c r="A38" s="223"/>
      <c r="B38" s="253"/>
      <c r="C38" s="234" t="s">
        <v>105</v>
      </c>
      <c r="D38" s="254">
        <f>SUM(D36+D37)</f>
        <v>94.233723711340218</v>
      </c>
      <c r="E38" s="254">
        <f>SUM(E36+E37)</f>
        <v>0</v>
      </c>
      <c r="F38" s="254">
        <f>SUM(F36+F37)</f>
        <v>0</v>
      </c>
      <c r="G38" s="254">
        <f>SUM(G36+G37)</f>
        <v>12.203991370010701</v>
      </c>
      <c r="H38" s="254">
        <f>SUM(D38:G38)</f>
        <v>106.43771508135092</v>
      </c>
    </row>
    <row r="39" spans="1:8" ht="51" x14ac:dyDescent="0.25">
      <c r="A39" s="226"/>
      <c r="B39" s="251" t="s">
        <v>106</v>
      </c>
      <c r="C39" s="256" t="s">
        <v>34</v>
      </c>
      <c r="D39" s="230">
        <v>0</v>
      </c>
      <c r="E39" s="230">
        <f>E38*18%</f>
        <v>0</v>
      </c>
      <c r="F39" s="230">
        <f>F38*18%</f>
        <v>0</v>
      </c>
      <c r="G39" s="230">
        <f>(G38-G35)*18%</f>
        <v>0.75125009217154648</v>
      </c>
      <c r="H39" s="230">
        <f>SUM(D39:G39)</f>
        <v>0.75125009217154648</v>
      </c>
    </row>
    <row r="40" spans="1:8" x14ac:dyDescent="0.25">
      <c r="A40" s="223"/>
      <c r="B40" s="257"/>
      <c r="C40" s="258" t="s">
        <v>107</v>
      </c>
      <c r="D40" s="254">
        <f>SUM(D38:D39)</f>
        <v>94.233723711340218</v>
      </c>
      <c r="E40" s="254">
        <f>SUM(E38:E39)</f>
        <v>0</v>
      </c>
      <c r="F40" s="254">
        <f>SUM(F38:F39)</f>
        <v>0</v>
      </c>
      <c r="G40" s="254">
        <f>SUM(G38:G39)</f>
        <v>12.955241462182247</v>
      </c>
      <c r="H40" s="254">
        <f>SUM(D40:G40)</f>
        <v>107.18896517352246</v>
      </c>
    </row>
    <row r="41" spans="1:8" x14ac:dyDescent="0.25">
      <c r="A41" s="259"/>
      <c r="B41" s="261"/>
      <c r="C41" s="259"/>
      <c r="D41" s="259"/>
      <c r="E41" s="259"/>
      <c r="F41" s="259"/>
      <c r="G41" s="259"/>
      <c r="H41" s="259"/>
    </row>
    <row r="42" spans="1:8" x14ac:dyDescent="0.25">
      <c r="A42" s="259"/>
      <c r="B42" s="261"/>
      <c r="C42" s="259"/>
      <c r="D42" s="259"/>
      <c r="E42" s="259"/>
      <c r="F42" s="259"/>
      <c r="G42" s="259"/>
      <c r="H42" s="259"/>
    </row>
    <row r="43" spans="1:8" x14ac:dyDescent="0.25">
      <c r="A43" s="259"/>
      <c r="B43" s="259" t="s">
        <v>108</v>
      </c>
      <c r="C43" s="260"/>
      <c r="D43" s="259"/>
      <c r="E43" s="259"/>
      <c r="F43" s="259"/>
      <c r="G43" s="259"/>
      <c r="H43" s="259"/>
    </row>
    <row r="44" spans="1:8" x14ac:dyDescent="0.25">
      <c r="A44" s="259"/>
      <c r="B44" s="261"/>
      <c r="C44" s="259"/>
      <c r="D44" s="259"/>
      <c r="E44" s="259"/>
      <c r="F44" s="259"/>
      <c r="G44" s="259"/>
      <c r="H44" s="259"/>
    </row>
    <row r="45" spans="1:8" x14ac:dyDescent="0.25">
      <c r="A45" s="259"/>
      <c r="B45" s="261"/>
      <c r="C45" s="259"/>
      <c r="D45" s="259"/>
      <c r="E45" s="259"/>
      <c r="F45" s="259"/>
      <c r="G45" s="259"/>
      <c r="H45" s="259"/>
    </row>
    <row r="46" spans="1:8" x14ac:dyDescent="0.25">
      <c r="A46" s="259"/>
      <c r="B46" s="259" t="s">
        <v>109</v>
      </c>
      <c r="C46" s="260"/>
      <c r="D46" s="259"/>
      <c r="E46" s="259"/>
      <c r="F46" s="259"/>
      <c r="G46" s="259"/>
      <c r="H46" s="259"/>
    </row>
  </sheetData>
  <mergeCells count="8">
    <mergeCell ref="A8:H8"/>
    <mergeCell ref="A9:H9"/>
    <mergeCell ref="A10:H10"/>
    <mergeCell ref="A11:A12"/>
    <mergeCell ref="B11:B12"/>
    <mergeCell ref="C11:C12"/>
    <mergeCell ref="D11:G11"/>
    <mergeCell ref="H11:H12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6"/>
  <sheetViews>
    <sheetView view="pageBreakPreview" zoomScale="80" zoomScaleNormal="100" zoomScaleSheetLayoutView="80" workbookViewId="0">
      <selection activeCell="I9" sqref="I9:M9"/>
    </sheetView>
  </sheetViews>
  <sheetFormatPr defaultRowHeight="12.75" x14ac:dyDescent="0.2"/>
  <cols>
    <col min="1" max="1" width="5" style="1" customWidth="1"/>
    <col min="2" max="2" width="14.42578125" style="1" customWidth="1"/>
    <col min="3" max="3" width="25.42578125" style="1" customWidth="1"/>
    <col min="4" max="4" width="12" style="1" customWidth="1"/>
    <col min="5" max="8" width="10.42578125" style="1" customWidth="1"/>
    <col min="9" max="9" width="11" style="8" customWidth="1"/>
    <col min="10" max="13" width="10.42578125" style="8" customWidth="1"/>
    <col min="14" max="14" width="13" style="1" customWidth="1"/>
    <col min="15" max="16" width="10.42578125" style="1" customWidth="1"/>
    <col min="17" max="17" width="11.7109375" style="1" bestFit="1" customWidth="1"/>
    <col min="18" max="18" width="15" style="1" customWidth="1"/>
    <col min="19" max="19" width="10.42578125" style="18" customWidth="1"/>
    <col min="20" max="20" width="11.42578125" style="1" customWidth="1"/>
    <col min="21" max="21" width="10.28515625" style="1" customWidth="1"/>
    <col min="22" max="22" width="13" style="1" customWidth="1"/>
    <col min="23" max="23" width="12.7109375" style="1" bestFit="1" customWidth="1"/>
    <col min="24" max="24" width="11.42578125" style="1" customWidth="1"/>
    <col min="25" max="25" width="12.140625" style="1" customWidth="1"/>
    <col min="26" max="26" width="10.7109375" style="1" customWidth="1"/>
    <col min="27" max="29" width="11.140625" style="1" customWidth="1"/>
    <col min="30" max="30" width="13.85546875" style="1" customWidth="1"/>
    <col min="31" max="31" width="11.42578125" style="1" customWidth="1"/>
    <col min="32" max="32" width="12.140625" style="1" customWidth="1"/>
    <col min="33" max="33" width="13.7109375" style="1" customWidth="1"/>
    <col min="34" max="34" width="11.7109375" style="1" customWidth="1"/>
    <col min="35" max="35" width="13.7109375" style="1" customWidth="1"/>
    <col min="36" max="36" width="10" style="1" customWidth="1"/>
    <col min="37" max="37" width="12.140625" style="1" customWidth="1"/>
    <col min="38" max="38" width="12" style="1" customWidth="1"/>
    <col min="39" max="39" width="10.7109375" style="1" customWidth="1"/>
    <col min="40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15" x14ac:dyDescent="0.25">
      <c r="A1" s="318"/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3" t="s">
        <v>0</v>
      </c>
      <c r="O1" s="314"/>
      <c r="P1" s="314"/>
      <c r="Q1" s="314"/>
      <c r="R1" s="314"/>
    </row>
    <row r="2" spans="1:20" ht="16.5" customHeight="1" x14ac:dyDescent="0.2">
      <c r="A2" s="318"/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5" t="s">
        <v>72</v>
      </c>
      <c r="O2" s="315"/>
      <c r="P2" s="315"/>
      <c r="Q2" s="315"/>
      <c r="R2" s="315"/>
    </row>
    <row r="3" spans="1:20" ht="24" customHeight="1" x14ac:dyDescent="0.2">
      <c r="A3" s="319"/>
      <c r="B3" s="320"/>
      <c r="C3" s="321"/>
      <c r="D3" s="322"/>
      <c r="E3" s="322"/>
      <c r="F3" s="322"/>
      <c r="G3" s="322"/>
      <c r="H3" s="322"/>
      <c r="I3" s="2"/>
      <c r="J3" s="2"/>
      <c r="K3" s="2"/>
      <c r="L3" s="2"/>
      <c r="M3" s="2"/>
      <c r="N3" s="315"/>
      <c r="O3" s="315"/>
      <c r="P3" s="315"/>
      <c r="Q3" s="315"/>
      <c r="R3" s="315"/>
    </row>
    <row r="4" spans="1:20" ht="10.5" customHeight="1" x14ac:dyDescent="0.2">
      <c r="A4" s="319"/>
      <c r="B4" s="320"/>
      <c r="C4" s="323"/>
      <c r="D4" s="324"/>
      <c r="E4" s="324"/>
      <c r="F4" s="324"/>
      <c r="G4" s="324"/>
      <c r="H4" s="324"/>
      <c r="I4" s="3"/>
      <c r="J4" s="3"/>
      <c r="K4" s="3"/>
      <c r="L4" s="3"/>
      <c r="M4" s="3"/>
      <c r="N4" s="315"/>
      <c r="O4" s="315"/>
      <c r="P4" s="315"/>
      <c r="Q4" s="315"/>
      <c r="R4" s="315"/>
    </row>
    <row r="5" spans="1:20" ht="39.75" customHeight="1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300" t="s">
        <v>70</v>
      </c>
      <c r="O5" s="316"/>
      <c r="P5" s="316"/>
      <c r="Q5" s="316"/>
      <c r="R5" s="316"/>
      <c r="S5" s="19"/>
    </row>
    <row r="6" spans="1:20" ht="15" customHeight="1" x14ac:dyDescent="0.25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51"/>
      <c r="S6" s="20"/>
    </row>
    <row r="7" spans="1:20" ht="18" customHeight="1" x14ac:dyDescent="0.25">
      <c r="A7" s="309" t="s">
        <v>134</v>
      </c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20"/>
    </row>
    <row r="8" spans="1:20" ht="13.5" thickBot="1" x14ac:dyDescent="0.25">
      <c r="A8" s="317"/>
      <c r="B8" s="317"/>
      <c r="C8" s="317"/>
      <c r="D8" s="317"/>
      <c r="E8" s="317"/>
      <c r="F8" s="317"/>
      <c r="G8" s="317"/>
      <c r="H8" s="317"/>
      <c r="I8" s="7"/>
      <c r="J8" s="7"/>
      <c r="K8" s="7"/>
      <c r="L8" s="7"/>
      <c r="M8" s="7"/>
    </row>
    <row r="9" spans="1:20" ht="76.5" customHeight="1" x14ac:dyDescent="0.2">
      <c r="A9" s="325" t="s">
        <v>1</v>
      </c>
      <c r="B9" s="327" t="s">
        <v>2</v>
      </c>
      <c r="C9" s="329" t="s">
        <v>3</v>
      </c>
      <c r="D9" s="331" t="s">
        <v>133</v>
      </c>
      <c r="E9" s="332"/>
      <c r="F9" s="332"/>
      <c r="G9" s="332"/>
      <c r="H9" s="333"/>
      <c r="I9" s="292" t="s">
        <v>4</v>
      </c>
      <c r="J9" s="293"/>
      <c r="K9" s="293"/>
      <c r="L9" s="293"/>
      <c r="M9" s="294"/>
      <c r="N9" s="310" t="s">
        <v>71</v>
      </c>
      <c r="O9" s="311"/>
      <c r="P9" s="311"/>
      <c r="Q9" s="311"/>
      <c r="R9" s="312"/>
      <c r="S9" s="13"/>
      <c r="T9" s="12"/>
    </row>
    <row r="10" spans="1:20" ht="69" customHeight="1" x14ac:dyDescent="0.2">
      <c r="A10" s="326"/>
      <c r="B10" s="328"/>
      <c r="C10" s="330"/>
      <c r="D10" s="81" t="s">
        <v>5</v>
      </c>
      <c r="E10" s="36" t="s">
        <v>6</v>
      </c>
      <c r="F10" s="36" t="s">
        <v>7</v>
      </c>
      <c r="G10" s="36" t="s">
        <v>8</v>
      </c>
      <c r="H10" s="82" t="s">
        <v>9</v>
      </c>
      <c r="I10" s="97" t="s">
        <v>5</v>
      </c>
      <c r="J10" s="37" t="s">
        <v>6</v>
      </c>
      <c r="K10" s="37" t="s">
        <v>7</v>
      </c>
      <c r="L10" s="37" t="s">
        <v>8</v>
      </c>
      <c r="M10" s="98" t="s">
        <v>9</v>
      </c>
      <c r="N10" s="97" t="s">
        <v>5</v>
      </c>
      <c r="O10" s="37" t="s">
        <v>6</v>
      </c>
      <c r="P10" s="37" t="s">
        <v>7</v>
      </c>
      <c r="Q10" s="37" t="s">
        <v>8</v>
      </c>
      <c r="R10" s="98" t="s">
        <v>9</v>
      </c>
      <c r="S10" s="14"/>
      <c r="T10" s="11"/>
    </row>
    <row r="11" spans="1:20" x14ac:dyDescent="0.2">
      <c r="A11" s="38">
        <v>1</v>
      </c>
      <c r="B11" s="39">
        <v>2</v>
      </c>
      <c r="C11" s="72">
        <v>3</v>
      </c>
      <c r="D11" s="83">
        <v>4</v>
      </c>
      <c r="E11" s="40">
        <v>5</v>
      </c>
      <c r="F11" s="40">
        <v>6</v>
      </c>
      <c r="G11" s="40">
        <v>7</v>
      </c>
      <c r="H11" s="84">
        <v>8</v>
      </c>
      <c r="I11" s="99">
        <v>9</v>
      </c>
      <c r="J11" s="42">
        <v>10</v>
      </c>
      <c r="K11" s="42">
        <v>11</v>
      </c>
      <c r="L11" s="42">
        <v>12</v>
      </c>
      <c r="M11" s="100">
        <v>13</v>
      </c>
      <c r="N11" s="99">
        <v>27</v>
      </c>
      <c r="O11" s="42">
        <v>28</v>
      </c>
      <c r="P11" s="42">
        <v>29</v>
      </c>
      <c r="Q11" s="42">
        <v>30</v>
      </c>
      <c r="R11" s="100">
        <v>31</v>
      </c>
      <c r="S11" s="15"/>
    </row>
    <row r="12" spans="1:20" ht="15.75" customHeight="1" x14ac:dyDescent="0.2">
      <c r="A12" s="286" t="s">
        <v>10</v>
      </c>
      <c r="B12" s="287"/>
      <c r="C12" s="288"/>
      <c r="D12" s="83"/>
      <c r="E12" s="40"/>
      <c r="F12" s="40"/>
      <c r="G12" s="40"/>
      <c r="H12" s="84"/>
      <c r="I12" s="83"/>
      <c r="J12" s="40"/>
      <c r="K12" s="40"/>
      <c r="L12" s="40"/>
      <c r="M12" s="84"/>
      <c r="N12" s="101"/>
      <c r="O12" s="41"/>
      <c r="P12" s="41"/>
      <c r="Q12" s="32"/>
      <c r="R12" s="184"/>
      <c r="S12" s="16"/>
    </row>
    <row r="13" spans="1:20" s="24" customFormat="1" ht="16.5" customHeight="1" x14ac:dyDescent="0.2">
      <c r="A13" s="43"/>
      <c r="B13" s="181"/>
      <c r="C13" s="182"/>
      <c r="D13" s="104"/>
      <c r="E13" s="105"/>
      <c r="F13" s="105"/>
      <c r="G13" s="105">
        <f>'ССР 2017'!G15</f>
        <v>0</v>
      </c>
      <c r="H13" s="106">
        <f>G13</f>
        <v>0</v>
      </c>
      <c r="I13" s="85"/>
      <c r="J13" s="44"/>
      <c r="K13" s="44"/>
      <c r="L13" s="44">
        <f>'ССР база'!G15</f>
        <v>0</v>
      </c>
      <c r="M13" s="86">
        <f>L13</f>
        <v>0</v>
      </c>
      <c r="N13" s="153"/>
      <c r="O13" s="45"/>
      <c r="P13" s="45"/>
      <c r="Q13" s="46">
        <f>L13*3.42</f>
        <v>0</v>
      </c>
      <c r="R13" s="185">
        <f>Q13</f>
        <v>0</v>
      </c>
      <c r="S13" s="28"/>
    </row>
    <row r="14" spans="1:20" s="24" customFormat="1" x14ac:dyDescent="0.2">
      <c r="A14" s="47"/>
      <c r="B14" s="48"/>
      <c r="C14" s="73" t="s">
        <v>12</v>
      </c>
      <c r="D14" s="104"/>
      <c r="E14" s="105"/>
      <c r="F14" s="105"/>
      <c r="G14" s="105">
        <f>G13</f>
        <v>0</v>
      </c>
      <c r="H14" s="106">
        <f>SUM(D14:G14)</f>
        <v>0</v>
      </c>
      <c r="I14" s="85"/>
      <c r="J14" s="44"/>
      <c r="K14" s="44"/>
      <c r="L14" s="44">
        <f>L13</f>
        <v>0</v>
      </c>
      <c r="M14" s="86">
        <f>M13</f>
        <v>0</v>
      </c>
      <c r="N14" s="143"/>
      <c r="O14" s="44"/>
      <c r="P14" s="44"/>
      <c r="Q14" s="44">
        <f>Q13</f>
        <v>0</v>
      </c>
      <c r="R14" s="186">
        <f>Q14</f>
        <v>0</v>
      </c>
      <c r="S14" s="29"/>
    </row>
    <row r="15" spans="1:20" s="24" customFormat="1" ht="15.75" customHeight="1" x14ac:dyDescent="0.2">
      <c r="A15" s="289" t="s">
        <v>13</v>
      </c>
      <c r="B15" s="290"/>
      <c r="C15" s="291"/>
      <c r="D15" s="107"/>
      <c r="E15" s="108"/>
      <c r="F15" s="108"/>
      <c r="G15" s="108"/>
      <c r="H15" s="109"/>
      <c r="I15" s="144"/>
      <c r="J15" s="170"/>
      <c r="K15" s="170"/>
      <c r="L15" s="170"/>
      <c r="M15" s="87"/>
      <c r="N15" s="145"/>
      <c r="O15" s="146"/>
      <c r="P15" s="146"/>
      <c r="Q15" s="146"/>
      <c r="R15" s="187"/>
      <c r="S15" s="30"/>
    </row>
    <row r="16" spans="1:20" s="24" customFormat="1" ht="17.25" customHeight="1" x14ac:dyDescent="0.2">
      <c r="A16" s="49"/>
      <c r="B16" s="50" t="s">
        <v>11</v>
      </c>
      <c r="C16" s="74" t="s">
        <v>60</v>
      </c>
      <c r="D16" s="172">
        <f>'ССР 2017'!D18</f>
        <v>457.03356000000002</v>
      </c>
      <c r="E16" s="120">
        <f>'ССР 2017'!E18</f>
        <v>0</v>
      </c>
      <c r="F16" s="120">
        <v>0</v>
      </c>
      <c r="G16" s="120"/>
      <c r="H16" s="121">
        <f>SUM(D16:G16)</f>
        <v>457.03356000000002</v>
      </c>
      <c r="I16" s="178">
        <f>'ССР база'!D18</f>
        <v>94.233723711340218</v>
      </c>
      <c r="J16" s="152">
        <f>'ССР база'!E18</f>
        <v>0</v>
      </c>
      <c r="K16" s="152">
        <f>F16/4.02</f>
        <v>0</v>
      </c>
      <c r="L16" s="120">
        <f>G16/8.36</f>
        <v>0</v>
      </c>
      <c r="M16" s="121">
        <f t="shared" ref="M16:M20" si="0">SUM(I16:L16)</f>
        <v>94.233723711340218</v>
      </c>
      <c r="N16" s="154">
        <f>I16*4.21</f>
        <v>396.72397682474229</v>
      </c>
      <c r="O16" s="155">
        <f>J16*4.15</f>
        <v>0</v>
      </c>
      <c r="P16" s="155">
        <f>K16*3.82</f>
        <v>0</v>
      </c>
      <c r="Q16" s="155">
        <f>L16*7.53</f>
        <v>0</v>
      </c>
      <c r="R16" s="188">
        <f t="shared" ref="R16:R20" si="1">SUM(N16:Q16)</f>
        <v>396.72397682474229</v>
      </c>
      <c r="S16" s="23"/>
    </row>
    <row r="17" spans="1:19" s="24" customFormat="1" ht="30" customHeight="1" x14ac:dyDescent="0.2">
      <c r="A17" s="49"/>
      <c r="B17" s="50"/>
      <c r="C17" s="263" t="s">
        <v>128</v>
      </c>
      <c r="D17" s="172">
        <v>245.30488</v>
      </c>
      <c r="E17" s="120">
        <f>J17*4.85</f>
        <v>0</v>
      </c>
      <c r="F17" s="120">
        <f>K17*4.28</f>
        <v>0</v>
      </c>
      <c r="G17" s="120"/>
      <c r="H17" s="121"/>
      <c r="I17" s="178">
        <f>D17/4.85</f>
        <v>50.578325773195878</v>
      </c>
      <c r="J17" s="152"/>
      <c r="K17" s="152">
        <f>K16</f>
        <v>0</v>
      </c>
      <c r="L17" s="120"/>
      <c r="M17" s="121"/>
      <c r="N17" s="154">
        <f>I17*4.21</f>
        <v>212.93475150515465</v>
      </c>
      <c r="O17" s="155">
        <f>J17*4.21</f>
        <v>0</v>
      </c>
      <c r="P17" s="155">
        <f>K17*3.82</f>
        <v>0</v>
      </c>
      <c r="Q17" s="155"/>
      <c r="R17" s="188">
        <f t="shared" si="1"/>
        <v>212.93475150515465</v>
      </c>
      <c r="S17" s="23"/>
    </row>
    <row r="18" spans="1:19" s="24" customFormat="1" ht="23.25" customHeight="1" x14ac:dyDescent="0.2">
      <c r="A18" s="49"/>
      <c r="B18" s="50"/>
      <c r="C18" s="263" t="s">
        <v>129</v>
      </c>
      <c r="D18" s="172">
        <f>D16-D17</f>
        <v>211.72868000000003</v>
      </c>
      <c r="E18" s="120">
        <f>E16-E17</f>
        <v>0</v>
      </c>
      <c r="F18" s="120"/>
      <c r="G18" s="120"/>
      <c r="H18" s="121"/>
      <c r="I18" s="178">
        <f>I16-I17</f>
        <v>43.65539793814434</v>
      </c>
      <c r="J18" s="152"/>
      <c r="K18" s="152"/>
      <c r="L18" s="120"/>
      <c r="M18" s="121"/>
      <c r="N18" s="154">
        <f>I18*4.21</f>
        <v>183.78922531958767</v>
      </c>
      <c r="O18" s="155">
        <f>E18</f>
        <v>0</v>
      </c>
      <c r="P18" s="155"/>
      <c r="Q18" s="155"/>
      <c r="R18" s="188">
        <f t="shared" si="1"/>
        <v>183.78922531958767</v>
      </c>
      <c r="S18" s="23"/>
    </row>
    <row r="19" spans="1:19" s="24" customFormat="1" x14ac:dyDescent="0.2">
      <c r="A19" s="54"/>
      <c r="B19" s="55" t="s">
        <v>14</v>
      </c>
      <c r="C19" s="76" t="s">
        <v>15</v>
      </c>
      <c r="D19" s="117">
        <f>SUM(D16:D16)</f>
        <v>457.03356000000002</v>
      </c>
      <c r="E19" s="56">
        <f>SUM(E16:E16)</f>
        <v>0</v>
      </c>
      <c r="F19" s="56">
        <f>SUM(F16:F16)</f>
        <v>0</v>
      </c>
      <c r="G19" s="56">
        <f>SUM(G16:G16)</f>
        <v>0</v>
      </c>
      <c r="H19" s="91">
        <f>SUM(D19:G19)</f>
        <v>457.03356000000002</v>
      </c>
      <c r="I19" s="117">
        <f>SUM(I16:I16)</f>
        <v>94.233723711340218</v>
      </c>
      <c r="J19" s="56">
        <f>SUM(J16:J16)</f>
        <v>0</v>
      </c>
      <c r="K19" s="56">
        <f>SUM(K16:K16)</f>
        <v>0</v>
      </c>
      <c r="L19" s="56">
        <f>SUM(L16:L16)</f>
        <v>0</v>
      </c>
      <c r="M19" s="91">
        <f t="shared" si="0"/>
        <v>94.233723711340218</v>
      </c>
      <c r="N19" s="159">
        <f>SUM(N16:N16)</f>
        <v>396.72397682474229</v>
      </c>
      <c r="O19" s="160">
        <f>SUM(O16:O16)</f>
        <v>0</v>
      </c>
      <c r="P19" s="160">
        <f>SUM(P16:P16)</f>
        <v>0</v>
      </c>
      <c r="Q19" s="160">
        <f>SUM(Q16:Q16)</f>
        <v>0</v>
      </c>
      <c r="R19" s="189">
        <f t="shared" si="1"/>
        <v>396.72397682474229</v>
      </c>
      <c r="S19" s="25"/>
    </row>
    <row r="20" spans="1:19" s="24" customFormat="1" x14ac:dyDescent="0.2">
      <c r="A20" s="54"/>
      <c r="B20" s="55"/>
      <c r="C20" s="77" t="s">
        <v>38</v>
      </c>
      <c r="D20" s="117">
        <f>D14+D19</f>
        <v>457.03356000000002</v>
      </c>
      <c r="E20" s="56">
        <f>E14+E19</f>
        <v>0</v>
      </c>
      <c r="F20" s="56">
        <f>F14+F19</f>
        <v>0</v>
      </c>
      <c r="G20" s="56">
        <f>G14+G19</f>
        <v>0</v>
      </c>
      <c r="H20" s="91">
        <f>SUM(D20:G20)</f>
        <v>457.03356000000002</v>
      </c>
      <c r="I20" s="117">
        <f>I14+I19</f>
        <v>94.233723711340218</v>
      </c>
      <c r="J20" s="56">
        <f>J14+J19</f>
        <v>0</v>
      </c>
      <c r="K20" s="56">
        <f>K14+K19</f>
        <v>0</v>
      </c>
      <c r="L20" s="56">
        <f>L14+L19</f>
        <v>0</v>
      </c>
      <c r="M20" s="91">
        <f t="shared" si="0"/>
        <v>94.233723711340218</v>
      </c>
      <c r="N20" s="159">
        <f>N14+N19</f>
        <v>396.72397682474229</v>
      </c>
      <c r="O20" s="160">
        <f>O14+O19</f>
        <v>0</v>
      </c>
      <c r="P20" s="160">
        <f>P14+P19</f>
        <v>0</v>
      </c>
      <c r="Q20" s="160">
        <f>Q14+Q19</f>
        <v>0</v>
      </c>
      <c r="R20" s="189">
        <f t="shared" si="1"/>
        <v>396.72397682474229</v>
      </c>
      <c r="S20" s="25"/>
    </row>
    <row r="21" spans="1:19" s="24" customFormat="1" ht="15.75" customHeight="1" x14ac:dyDescent="0.2">
      <c r="A21" s="289" t="s">
        <v>16</v>
      </c>
      <c r="B21" s="290"/>
      <c r="C21" s="291"/>
      <c r="D21" s="118"/>
      <c r="E21" s="57"/>
      <c r="F21" s="57"/>
      <c r="G21" s="57"/>
      <c r="H21" s="93"/>
      <c r="I21" s="118"/>
      <c r="J21" s="57"/>
      <c r="K21" s="57"/>
      <c r="L21" s="57"/>
      <c r="M21" s="93"/>
      <c r="N21" s="161"/>
      <c r="O21" s="162"/>
      <c r="P21" s="162"/>
      <c r="Q21" s="162"/>
      <c r="R21" s="190"/>
      <c r="S21" s="26"/>
    </row>
    <row r="22" spans="1:19" s="24" customFormat="1" ht="25.5" x14ac:dyDescent="0.2">
      <c r="A22" s="49"/>
      <c r="B22" s="50" t="s">
        <v>11</v>
      </c>
      <c r="C22" s="75" t="s">
        <v>130</v>
      </c>
      <c r="D22" s="116">
        <v>0</v>
      </c>
      <c r="E22" s="52">
        <f>E20*2.5%</f>
        <v>0</v>
      </c>
      <c r="F22" s="52"/>
      <c r="G22" s="53"/>
      <c r="H22" s="89">
        <f>SUM(D22:G22)</f>
        <v>0</v>
      </c>
      <c r="I22" s="116">
        <v>0</v>
      </c>
      <c r="J22" s="52">
        <f>J20*2.5%</f>
        <v>0</v>
      </c>
      <c r="K22" s="53"/>
      <c r="L22" s="53"/>
      <c r="M22" s="89">
        <f t="shared" ref="M22" si="2">SUM(I22:L22)</f>
        <v>0</v>
      </c>
      <c r="N22" s="156">
        <f>N19*2%</f>
        <v>7.9344795364948464</v>
      </c>
      <c r="O22" s="157">
        <f>O20*2.5%</f>
        <v>0</v>
      </c>
      <c r="P22" s="158"/>
      <c r="Q22" s="158"/>
      <c r="R22" s="191">
        <f>SUM(N22:Q22)</f>
        <v>7.9344795364948464</v>
      </c>
      <c r="S22" s="17"/>
    </row>
    <row r="23" spans="1:19" s="24" customFormat="1" x14ac:dyDescent="0.2">
      <c r="A23" s="54"/>
      <c r="B23" s="55" t="s">
        <v>14</v>
      </c>
      <c r="C23" s="76" t="s">
        <v>17</v>
      </c>
      <c r="D23" s="117">
        <f>SUM(D22:D22)</f>
        <v>0</v>
      </c>
      <c r="E23" s="56">
        <f>SUM(E22:E22)</f>
        <v>0</v>
      </c>
      <c r="F23" s="56">
        <f>SUM(F22:F22)</f>
        <v>0</v>
      </c>
      <c r="G23" s="56">
        <v>0</v>
      </c>
      <c r="H23" s="91">
        <f>SUM(D23:G23)</f>
        <v>0</v>
      </c>
      <c r="I23" s="117">
        <f>SUM(I22:I22)</f>
        <v>0</v>
      </c>
      <c r="J23" s="56">
        <f>SUM(J22:J22)</f>
        <v>0</v>
      </c>
      <c r="K23" s="56">
        <f>SUM(K22:K22)</f>
        <v>0</v>
      </c>
      <c r="L23" s="56">
        <f>SUM(L22:L22)</f>
        <v>0</v>
      </c>
      <c r="M23" s="91">
        <f>SUM(I23:L23)</f>
        <v>0</v>
      </c>
      <c r="N23" s="159">
        <f>SUM(N22:N22)</f>
        <v>7.9344795364948464</v>
      </c>
      <c r="O23" s="160">
        <f>SUM(O22:O22)</f>
        <v>0</v>
      </c>
      <c r="P23" s="160">
        <f>SUM(P22:P22)</f>
        <v>0</v>
      </c>
      <c r="Q23" s="160"/>
      <c r="R23" s="189">
        <f>SUM(N23:Q23)</f>
        <v>7.9344795364948464</v>
      </c>
      <c r="S23" s="25"/>
    </row>
    <row r="24" spans="1:19" s="24" customFormat="1" x14ac:dyDescent="0.2">
      <c r="A24" s="54"/>
      <c r="B24" s="55"/>
      <c r="C24" s="76" t="s">
        <v>18</v>
      </c>
      <c r="D24" s="117">
        <f>D14+D19+D23</f>
        <v>457.03356000000002</v>
      </c>
      <c r="E24" s="56">
        <f>E14+E19+E23</f>
        <v>0</v>
      </c>
      <c r="F24" s="56">
        <f>F14+F19+F23</f>
        <v>0</v>
      </c>
      <c r="G24" s="56">
        <f>G14+G19+G23</f>
        <v>0</v>
      </c>
      <c r="H24" s="91">
        <f>SUM(D24:G24)</f>
        <v>457.03356000000002</v>
      </c>
      <c r="I24" s="117">
        <f>I14+I19+I23</f>
        <v>94.233723711340218</v>
      </c>
      <c r="J24" s="56">
        <f>J14+J19+J23</f>
        <v>0</v>
      </c>
      <c r="K24" s="56">
        <f>K14+K19+K23</f>
        <v>0</v>
      </c>
      <c r="L24" s="56">
        <f>L14+L19+L23</f>
        <v>0</v>
      </c>
      <c r="M24" s="91">
        <f>SUM(I24:L24)</f>
        <v>94.233723711340218</v>
      </c>
      <c r="N24" s="159">
        <f>N14+N19+N23</f>
        <v>404.65845636123714</v>
      </c>
      <c r="O24" s="160">
        <f>O14+O19+O23</f>
        <v>0</v>
      </c>
      <c r="P24" s="160">
        <f>P14+P19+P23</f>
        <v>0</v>
      </c>
      <c r="Q24" s="160">
        <f>Q20</f>
        <v>0</v>
      </c>
      <c r="R24" s="189">
        <f>SUM(N24:Q24)</f>
        <v>404.65845636123714</v>
      </c>
      <c r="S24" s="25"/>
    </row>
    <row r="25" spans="1:19" s="24" customFormat="1" ht="15.75" customHeight="1" x14ac:dyDescent="0.2">
      <c r="A25" s="289" t="s">
        <v>19</v>
      </c>
      <c r="B25" s="290"/>
      <c r="C25" s="291"/>
      <c r="D25" s="118"/>
      <c r="E25" s="57"/>
      <c r="F25" s="57"/>
      <c r="G25" s="57"/>
      <c r="H25" s="93"/>
      <c r="I25" s="118"/>
      <c r="J25" s="57"/>
      <c r="K25" s="57"/>
      <c r="L25" s="57"/>
      <c r="M25" s="93"/>
      <c r="N25" s="161"/>
      <c r="O25" s="162"/>
      <c r="P25" s="162"/>
      <c r="Q25" s="162"/>
      <c r="R25" s="190"/>
      <c r="S25" s="26"/>
    </row>
    <row r="26" spans="1:19" s="24" customFormat="1" ht="77.25" customHeight="1" x14ac:dyDescent="0.2">
      <c r="A26" s="58"/>
      <c r="B26" s="51" t="s">
        <v>11</v>
      </c>
      <c r="C26" s="75" t="s">
        <v>52</v>
      </c>
      <c r="D26" s="116">
        <v>0</v>
      </c>
      <c r="E26" s="52">
        <f>E24*3.19%</f>
        <v>0</v>
      </c>
      <c r="F26" s="52"/>
      <c r="G26" s="52"/>
      <c r="H26" s="94">
        <f>SUM(D26:G26)</f>
        <v>0</v>
      </c>
      <c r="I26" s="116">
        <v>0</v>
      </c>
      <c r="J26" s="52">
        <f>J24*3.19%</f>
        <v>0</v>
      </c>
      <c r="K26" s="52"/>
      <c r="L26" s="52"/>
      <c r="M26" s="94">
        <f>SUM(I26:L26)</f>
        <v>0</v>
      </c>
      <c r="N26" s="156">
        <f>N24*3.19%</f>
        <v>12.908604757923465</v>
      </c>
      <c r="O26" s="157">
        <f>O24*3.19%</f>
        <v>0</v>
      </c>
      <c r="P26" s="157"/>
      <c r="Q26" s="157"/>
      <c r="R26" s="192">
        <f>SUM(N26:Q26)</f>
        <v>12.908604757923465</v>
      </c>
      <c r="S26" s="27"/>
    </row>
    <row r="27" spans="1:19" s="24" customFormat="1" ht="15" customHeight="1" x14ac:dyDescent="0.2">
      <c r="A27" s="58"/>
      <c r="B27" s="51" t="s">
        <v>11</v>
      </c>
      <c r="C27" s="74" t="s">
        <v>63</v>
      </c>
      <c r="D27" s="116">
        <v>0</v>
      </c>
      <c r="E27" s="52">
        <v>0</v>
      </c>
      <c r="F27" s="52"/>
      <c r="G27" s="52"/>
      <c r="H27" s="94">
        <f>SUM(D27:G27)</f>
        <v>0</v>
      </c>
      <c r="I27" s="116">
        <v>0</v>
      </c>
      <c r="J27" s="52">
        <v>0</v>
      </c>
      <c r="K27" s="52"/>
      <c r="L27" s="52"/>
      <c r="M27" s="94">
        <f t="shared" ref="M27:M28" si="3">SUM(I27:L27)</f>
        <v>0</v>
      </c>
      <c r="N27" s="156">
        <v>0</v>
      </c>
      <c r="O27" s="157">
        <v>0</v>
      </c>
      <c r="P27" s="157"/>
      <c r="Q27" s="52"/>
      <c r="R27" s="192">
        <f t="shared" ref="R27" si="4">SUM(N27:Q27)</f>
        <v>0</v>
      </c>
      <c r="S27" s="27"/>
    </row>
    <row r="28" spans="1:19" s="24" customFormat="1" ht="60.75" customHeight="1" x14ac:dyDescent="0.2">
      <c r="A28" s="58"/>
      <c r="B28" s="51"/>
      <c r="C28" s="74" t="s">
        <v>64</v>
      </c>
      <c r="D28" s="116"/>
      <c r="E28" s="52"/>
      <c r="F28" s="52"/>
      <c r="G28" s="52">
        <v>0</v>
      </c>
      <c r="H28" s="94">
        <f>SUM(D28:G28)</f>
        <v>0</v>
      </c>
      <c r="I28" s="116"/>
      <c r="J28" s="52"/>
      <c r="K28" s="52"/>
      <c r="L28" s="52">
        <v>0</v>
      </c>
      <c r="M28" s="94">
        <f t="shared" si="3"/>
        <v>0</v>
      </c>
      <c r="N28" s="171"/>
      <c r="O28" s="157"/>
      <c r="P28" s="157"/>
      <c r="Q28" s="157">
        <f>(N24+O24+R26+R27)*2.92%</f>
        <v>12.19295818467949</v>
      </c>
      <c r="R28" s="193">
        <f>Q28</f>
        <v>12.19295818467949</v>
      </c>
      <c r="S28" s="27"/>
    </row>
    <row r="29" spans="1:19" s="24" customFormat="1" ht="12.75" customHeight="1" x14ac:dyDescent="0.2">
      <c r="A29" s="60"/>
      <c r="B29" s="55" t="s">
        <v>14</v>
      </c>
      <c r="C29" s="76" t="s">
        <v>20</v>
      </c>
      <c r="D29" s="116">
        <f>SUM(D26:D27)</f>
        <v>0</v>
      </c>
      <c r="E29" s="52">
        <f>SUM(E26:E27)</f>
        <v>0</v>
      </c>
      <c r="F29" s="52">
        <f>SUM(F26:F27)</f>
        <v>0</v>
      </c>
      <c r="G29" s="52">
        <f>SUM(G26:G28)</f>
        <v>0</v>
      </c>
      <c r="H29" s="89">
        <f t="shared" ref="H29:H48" si="5">SUM(D29:G29)</f>
        <v>0</v>
      </c>
      <c r="I29" s="88">
        <f>SUM(I26:I27)</f>
        <v>0</v>
      </c>
      <c r="J29" s="52">
        <f>SUM(J26:J27)</f>
        <v>0</v>
      </c>
      <c r="K29" s="52">
        <f>SUM(K26:K27)</f>
        <v>0</v>
      </c>
      <c r="L29" s="52">
        <f>SUM(L27:L28)</f>
        <v>0</v>
      </c>
      <c r="M29" s="89">
        <f>SUM(I29:L29)</f>
        <v>0</v>
      </c>
      <c r="N29" s="52">
        <f>SUM(N26:N27)</f>
        <v>12.908604757923465</v>
      </c>
      <c r="O29" s="52">
        <f>SUM(O26:O27)</f>
        <v>0</v>
      </c>
      <c r="P29" s="52">
        <f>SUM(P26:P27)</f>
        <v>0</v>
      </c>
      <c r="Q29" s="52">
        <f>SUM(Q26:Q28)</f>
        <v>12.19295818467949</v>
      </c>
      <c r="R29" s="194">
        <f>SUM(R26:R28)</f>
        <v>25.101562942602953</v>
      </c>
      <c r="S29" s="17"/>
    </row>
    <row r="30" spans="1:19" s="24" customFormat="1" ht="12.75" customHeight="1" x14ac:dyDescent="0.2">
      <c r="A30" s="60"/>
      <c r="B30" s="55" t="s">
        <v>14</v>
      </c>
      <c r="C30" s="78" t="s">
        <v>21</v>
      </c>
      <c r="D30" s="90">
        <f>D24+D29</f>
        <v>457.03356000000002</v>
      </c>
      <c r="E30" s="56">
        <f>E24+E29</f>
        <v>0</v>
      </c>
      <c r="F30" s="56">
        <f>F24+F29</f>
        <v>0</v>
      </c>
      <c r="G30" s="56">
        <f>G24+G29</f>
        <v>0</v>
      </c>
      <c r="H30" s="91">
        <f>SUM(D30:G30)</f>
        <v>457.03356000000002</v>
      </c>
      <c r="I30" s="90">
        <f>I24+I29</f>
        <v>94.233723711340218</v>
      </c>
      <c r="J30" s="56">
        <f>J24+J29</f>
        <v>0</v>
      </c>
      <c r="K30" s="56">
        <f>K24+K29</f>
        <v>0</v>
      </c>
      <c r="L30" s="56">
        <f>L24+L29</f>
        <v>0</v>
      </c>
      <c r="M30" s="169">
        <f>SUM(I30:L30)</f>
        <v>94.233723711340218</v>
      </c>
      <c r="N30" s="176">
        <f>N24+N29</f>
        <v>417.5670611191606</v>
      </c>
      <c r="O30" s="177">
        <f>O24+O29</f>
        <v>0</v>
      </c>
      <c r="P30" s="177">
        <f>P24+P29</f>
        <v>0</v>
      </c>
      <c r="Q30" s="177">
        <f>Q24+Q29</f>
        <v>12.19295818467949</v>
      </c>
      <c r="R30" s="195">
        <f>SUM(N30:Q30)</f>
        <v>429.76001930384007</v>
      </c>
      <c r="S30" s="25"/>
    </row>
    <row r="31" spans="1:19" s="24" customFormat="1" ht="15.75" customHeight="1" x14ac:dyDescent="0.2">
      <c r="A31" s="289" t="s">
        <v>22</v>
      </c>
      <c r="B31" s="290"/>
      <c r="C31" s="291"/>
      <c r="D31" s="92"/>
      <c r="E31" s="57"/>
      <c r="F31" s="57"/>
      <c r="G31" s="57"/>
      <c r="H31" s="93"/>
      <c r="I31" s="92"/>
      <c r="J31" s="57"/>
      <c r="K31" s="57"/>
      <c r="L31" s="57"/>
      <c r="M31" s="93"/>
      <c r="N31" s="147"/>
      <c r="O31" s="148"/>
      <c r="P31" s="148"/>
      <c r="Q31" s="148"/>
      <c r="R31" s="187"/>
      <c r="S31" s="26"/>
    </row>
    <row r="32" spans="1:19" s="24" customFormat="1" ht="53.25" customHeight="1" x14ac:dyDescent="0.2">
      <c r="A32" s="58"/>
      <c r="B32" s="61" t="s">
        <v>118</v>
      </c>
      <c r="C32" s="75" t="s">
        <v>23</v>
      </c>
      <c r="D32" s="88"/>
      <c r="E32" s="52"/>
      <c r="F32" s="52"/>
      <c r="G32" s="52">
        <f>H30*2.14%</f>
        <v>9.7805181840000017</v>
      </c>
      <c r="H32" s="94">
        <f t="shared" si="5"/>
        <v>9.7805181840000017</v>
      </c>
      <c r="I32" s="88"/>
      <c r="J32" s="52"/>
      <c r="K32" s="52"/>
      <c r="L32" s="52">
        <f>M30*2.14%</f>
        <v>2.0166016874226811</v>
      </c>
      <c r="M32" s="94">
        <f t="shared" ref="M32" si="6">SUM(I32:L32)</f>
        <v>2.0166016874226811</v>
      </c>
      <c r="N32" s="116"/>
      <c r="O32" s="52"/>
      <c r="P32" s="52"/>
      <c r="Q32" s="52">
        <f>R30*2.14%</f>
        <v>9.1968644131021779</v>
      </c>
      <c r="R32" s="196">
        <f>SUM(N32:Q32)</f>
        <v>9.1968644131021779</v>
      </c>
      <c r="S32" s="27"/>
    </row>
    <row r="33" spans="1:44" s="24" customFormat="1" ht="53.25" customHeight="1" x14ac:dyDescent="0.2">
      <c r="A33" s="58"/>
      <c r="B33" s="61" t="s">
        <v>118</v>
      </c>
      <c r="C33" s="74" t="s">
        <v>119</v>
      </c>
      <c r="D33" s="88"/>
      <c r="E33" s="52"/>
      <c r="F33" s="52"/>
      <c r="G33" s="52">
        <f>H30*2.16%</f>
        <v>9.8719248960000012</v>
      </c>
      <c r="H33" s="94">
        <f>G33</f>
        <v>9.8719248960000012</v>
      </c>
      <c r="I33" s="88"/>
      <c r="J33" s="52"/>
      <c r="K33" s="52"/>
      <c r="L33" s="52">
        <f>M30*2.16%</f>
        <v>2.0354484321649489</v>
      </c>
      <c r="M33" s="94">
        <f>L33</f>
        <v>2.0354484321649489</v>
      </c>
      <c r="N33" s="116"/>
      <c r="O33" s="52"/>
      <c r="P33" s="52"/>
      <c r="Q33" s="52">
        <f>R30*2.16%</f>
        <v>9.2828164169629463</v>
      </c>
      <c r="R33" s="196">
        <f>Q33</f>
        <v>9.2828164169629463</v>
      </c>
      <c r="S33" s="27"/>
    </row>
    <row r="34" spans="1:44" s="24" customFormat="1" x14ac:dyDescent="0.2">
      <c r="A34" s="54"/>
      <c r="B34" s="55" t="s">
        <v>14</v>
      </c>
      <c r="C34" s="76" t="s">
        <v>24</v>
      </c>
      <c r="D34" s="88">
        <f>D32</f>
        <v>0</v>
      </c>
      <c r="E34" s="52">
        <f>E32</f>
        <v>0</v>
      </c>
      <c r="F34" s="52">
        <f>F32</f>
        <v>0</v>
      </c>
      <c r="G34" s="52">
        <f>G32+G33</f>
        <v>19.652443080000005</v>
      </c>
      <c r="H34" s="94">
        <f t="shared" si="5"/>
        <v>19.652443080000005</v>
      </c>
      <c r="I34" s="88">
        <f>I32</f>
        <v>0</v>
      </c>
      <c r="J34" s="52">
        <f>J32</f>
        <v>0</v>
      </c>
      <c r="K34" s="52">
        <f>K32</f>
        <v>0</v>
      </c>
      <c r="L34" s="52">
        <f>L32+L33</f>
        <v>4.05205011958763</v>
      </c>
      <c r="M34" s="94">
        <f>SUM(I34:L34)</f>
        <v>4.05205011958763</v>
      </c>
      <c r="N34" s="88">
        <f>N32</f>
        <v>0</v>
      </c>
      <c r="O34" s="52">
        <f>O32</f>
        <v>0</v>
      </c>
      <c r="P34" s="52">
        <f>P32</f>
        <v>0</v>
      </c>
      <c r="Q34" s="52">
        <f>Q32+Q33</f>
        <v>18.479680830065124</v>
      </c>
      <c r="R34" s="196">
        <f>SUM(N34:Q34)</f>
        <v>18.479680830065124</v>
      </c>
      <c r="S34" s="27"/>
      <c r="T34" s="126"/>
    </row>
    <row r="35" spans="1:44" s="24" customFormat="1" ht="22.5" customHeight="1" x14ac:dyDescent="0.2">
      <c r="A35" s="54"/>
      <c r="B35" s="55" t="s">
        <v>14</v>
      </c>
      <c r="C35" s="79" t="s">
        <v>25</v>
      </c>
      <c r="D35" s="88">
        <f>D30+D34</f>
        <v>457.03356000000002</v>
      </c>
      <c r="E35" s="52">
        <f>E30+E34</f>
        <v>0</v>
      </c>
      <c r="F35" s="52">
        <f>F30+F34</f>
        <v>0</v>
      </c>
      <c r="G35" s="52">
        <f>G30+G34</f>
        <v>19.652443080000005</v>
      </c>
      <c r="H35" s="94">
        <f t="shared" si="5"/>
        <v>476.68600308000003</v>
      </c>
      <c r="I35" s="88">
        <f>I30+I34</f>
        <v>94.233723711340218</v>
      </c>
      <c r="J35" s="52">
        <f>J30+J34</f>
        <v>0</v>
      </c>
      <c r="K35" s="52">
        <f>K30+K34</f>
        <v>0</v>
      </c>
      <c r="L35" s="52">
        <f>L30+L34</f>
        <v>4.05205011958763</v>
      </c>
      <c r="M35" s="94">
        <f>SUM(I35:L35)</f>
        <v>98.285773830927852</v>
      </c>
      <c r="N35" s="88">
        <f>N30+N34</f>
        <v>417.5670611191606</v>
      </c>
      <c r="O35" s="52">
        <f>O30+O34</f>
        <v>0</v>
      </c>
      <c r="P35" s="52">
        <f>P30+P34</f>
        <v>0</v>
      </c>
      <c r="Q35" s="52">
        <f>Q30+Q34</f>
        <v>30.672639014744615</v>
      </c>
      <c r="R35" s="196">
        <f>SUM(N35:Q35)</f>
        <v>448.23970013390522</v>
      </c>
      <c r="S35" s="27"/>
      <c r="T35" s="126"/>
    </row>
    <row r="36" spans="1:44" s="24" customFormat="1" ht="15.75" customHeight="1" x14ac:dyDescent="0.25">
      <c r="A36" s="289" t="s">
        <v>26</v>
      </c>
      <c r="B36" s="290"/>
      <c r="C36" s="291"/>
      <c r="D36" s="92"/>
      <c r="E36" s="57"/>
      <c r="F36" s="57"/>
      <c r="G36" s="57"/>
      <c r="H36" s="93"/>
      <c r="I36" s="92"/>
      <c r="J36" s="57"/>
      <c r="K36" s="57"/>
      <c r="L36" s="57"/>
      <c r="M36" s="93"/>
      <c r="N36" s="149"/>
      <c r="O36" s="148"/>
      <c r="P36" s="148"/>
      <c r="Q36" s="148"/>
      <c r="R36" s="187"/>
      <c r="S36" s="26"/>
      <c r="T36" s="127" t="s">
        <v>65</v>
      </c>
      <c r="U36" s="128" t="s">
        <v>41</v>
      </c>
      <c r="V36" s="163">
        <f>R37</f>
        <v>31.72</v>
      </c>
      <c r="W36" s="129"/>
      <c r="X36" s="130"/>
    </row>
    <row r="37" spans="1:44" s="24" customFormat="1" ht="25.5" x14ac:dyDescent="0.25">
      <c r="A37" s="58"/>
      <c r="B37" s="61" t="s">
        <v>27</v>
      </c>
      <c r="C37" s="75" t="s">
        <v>62</v>
      </c>
      <c r="D37" s="95"/>
      <c r="E37" s="59"/>
      <c r="F37" s="59"/>
      <c r="G37" s="52">
        <f>'ССР 2017'!G34</f>
        <v>31.72</v>
      </c>
      <c r="H37" s="94">
        <f>SUM(D37:G37)</f>
        <v>31.72</v>
      </c>
      <c r="I37" s="95"/>
      <c r="J37" s="59"/>
      <c r="K37" s="59"/>
      <c r="L37" s="52">
        <f>'ССР база'!G34</f>
        <v>8.0303797468354432</v>
      </c>
      <c r="M37" s="94">
        <f>SUM(I37:L37)</f>
        <v>8.0303797468354432</v>
      </c>
      <c r="N37" s="150"/>
      <c r="O37" s="122"/>
      <c r="P37" s="122"/>
      <c r="Q37" s="52">
        <f>G37</f>
        <v>31.72</v>
      </c>
      <c r="R37" s="196">
        <f t="shared" ref="R37" si="7">SUM(N37:Q37)</f>
        <v>31.72</v>
      </c>
      <c r="S37" s="27"/>
      <c r="T37" s="131"/>
      <c r="U37" s="132" t="s">
        <v>48</v>
      </c>
      <c r="V37" s="164">
        <v>109.88800000000001</v>
      </c>
      <c r="W37" s="133"/>
      <c r="X37" s="134"/>
    </row>
    <row r="38" spans="1:44" s="24" customFormat="1" ht="15" x14ac:dyDescent="0.25">
      <c r="A38" s="58"/>
      <c r="B38" s="61"/>
      <c r="C38" s="74" t="s">
        <v>61</v>
      </c>
      <c r="D38" s="95"/>
      <c r="E38" s="59"/>
      <c r="F38" s="59"/>
      <c r="G38" s="52">
        <v>0</v>
      </c>
      <c r="H38" s="94">
        <f>G38</f>
        <v>0</v>
      </c>
      <c r="I38" s="95"/>
      <c r="J38" s="59"/>
      <c r="K38" s="59"/>
      <c r="L38" s="52">
        <f>G38/3.76</f>
        <v>0</v>
      </c>
      <c r="M38" s="94">
        <f>L38</f>
        <v>0</v>
      </c>
      <c r="N38" s="150"/>
      <c r="O38" s="122"/>
      <c r="P38" s="122"/>
      <c r="Q38" s="52">
        <f>G38</f>
        <v>0</v>
      </c>
      <c r="R38" s="196">
        <f>Q38</f>
        <v>0</v>
      </c>
      <c r="S38" s="27"/>
      <c r="T38" s="131"/>
      <c r="U38" s="132"/>
      <c r="V38" s="164"/>
      <c r="W38" s="133"/>
      <c r="X38" s="134"/>
    </row>
    <row r="39" spans="1:44" s="24" customFormat="1" ht="15" x14ac:dyDescent="0.25">
      <c r="A39" s="54"/>
      <c r="B39" s="55" t="s">
        <v>14</v>
      </c>
      <c r="C39" s="76" t="s">
        <v>28</v>
      </c>
      <c r="D39" s="88">
        <f>SUM(D37:D37)</f>
        <v>0</v>
      </c>
      <c r="E39" s="52">
        <f>SUM(E37:E37)</f>
        <v>0</v>
      </c>
      <c r="F39" s="52">
        <f>SUM(F37:F37)</f>
        <v>0</v>
      </c>
      <c r="G39" s="52">
        <f>SUM(G37:G38)</f>
        <v>31.72</v>
      </c>
      <c r="H39" s="94">
        <f t="shared" si="5"/>
        <v>31.72</v>
      </c>
      <c r="I39" s="88">
        <f>SUM(I37:I37)</f>
        <v>0</v>
      </c>
      <c r="J39" s="52">
        <f>SUM(J37:J37)</f>
        <v>0</v>
      </c>
      <c r="K39" s="52">
        <f>SUM(K37:K37)</f>
        <v>0</v>
      </c>
      <c r="L39" s="52">
        <f>SUM(L37:L38)</f>
        <v>8.0303797468354432</v>
      </c>
      <c r="M39" s="94">
        <f t="shared" ref="M39" si="8">SUM(I39:L39)</f>
        <v>8.0303797468354432</v>
      </c>
      <c r="N39" s="88">
        <f>SUM(N37:N37)</f>
        <v>0</v>
      </c>
      <c r="O39" s="52">
        <f>SUM(O37:O37)</f>
        <v>0</v>
      </c>
      <c r="P39" s="52">
        <f>SUM(P37:P37)</f>
        <v>0</v>
      </c>
      <c r="Q39" s="52">
        <f>SUM(Q37:Q38)</f>
        <v>31.72</v>
      </c>
      <c r="R39" s="196">
        <f>SUM(N39:Q39)</f>
        <v>31.72</v>
      </c>
      <c r="S39" s="27"/>
      <c r="T39" s="127" t="s">
        <v>120</v>
      </c>
      <c r="U39" s="128" t="s">
        <v>41</v>
      </c>
      <c r="V39" s="163">
        <f>R46-V36</f>
        <v>462.2026907589551</v>
      </c>
      <c r="W39" s="179"/>
      <c r="X39" s="135"/>
    </row>
    <row r="40" spans="1:44" s="24" customFormat="1" ht="15" x14ac:dyDescent="0.25">
      <c r="A40" s="54"/>
      <c r="B40" s="55" t="s">
        <v>14</v>
      </c>
      <c r="C40" s="79" t="s">
        <v>29</v>
      </c>
      <c r="D40" s="88">
        <f>D35+D39</f>
        <v>457.03356000000002</v>
      </c>
      <c r="E40" s="52">
        <f>E35+E39</f>
        <v>0</v>
      </c>
      <c r="F40" s="52">
        <f>F35+F39</f>
        <v>0</v>
      </c>
      <c r="G40" s="52">
        <f>G35+G39</f>
        <v>51.372443080000004</v>
      </c>
      <c r="H40" s="94">
        <f t="shared" si="5"/>
        <v>508.40600308</v>
      </c>
      <c r="I40" s="88">
        <f>I35+I39</f>
        <v>94.233723711340218</v>
      </c>
      <c r="J40" s="52">
        <f>J35+J39</f>
        <v>0</v>
      </c>
      <c r="K40" s="52">
        <f>K35+K39</f>
        <v>0</v>
      </c>
      <c r="L40" s="52">
        <f>L35+L39</f>
        <v>12.082429866423073</v>
      </c>
      <c r="M40" s="94">
        <f>SUM(I40:L40)</f>
        <v>106.31615357776329</v>
      </c>
      <c r="N40" s="88">
        <f>N35+N39</f>
        <v>417.5670611191606</v>
      </c>
      <c r="O40" s="52">
        <f>O35+O39</f>
        <v>0</v>
      </c>
      <c r="P40" s="52">
        <f>P35+P39</f>
        <v>0</v>
      </c>
      <c r="Q40" s="52">
        <f>Q35+Q39</f>
        <v>62.392639014744617</v>
      </c>
      <c r="R40" s="196">
        <f>SUM(N40:Q40)</f>
        <v>479.95970013390524</v>
      </c>
      <c r="S40" s="27"/>
      <c r="T40" s="136"/>
      <c r="U40" s="132" t="s">
        <v>42</v>
      </c>
      <c r="V40" s="164" t="e">
        <f>#REF!</f>
        <v>#REF!</v>
      </c>
      <c r="W40" s="139"/>
      <c r="X40" s="137"/>
    </row>
    <row r="41" spans="1:44" s="24" customFormat="1" ht="15" x14ac:dyDescent="0.25">
      <c r="A41" s="289"/>
      <c r="B41" s="290"/>
      <c r="C41" s="291"/>
      <c r="D41" s="92"/>
      <c r="E41" s="57"/>
      <c r="F41" s="57"/>
      <c r="G41" s="57"/>
      <c r="H41" s="93"/>
      <c r="I41" s="92"/>
      <c r="J41" s="57"/>
      <c r="K41" s="57"/>
      <c r="L41" s="57"/>
      <c r="M41" s="93"/>
      <c r="N41" s="149"/>
      <c r="O41" s="148"/>
      <c r="P41" s="148"/>
      <c r="Q41" s="148"/>
      <c r="R41" s="187"/>
      <c r="S41" s="26"/>
      <c r="T41" s="138"/>
      <c r="U41" s="132" t="s">
        <v>43</v>
      </c>
      <c r="V41" s="165" t="e">
        <f>V39-V40-V42</f>
        <v>#REF!</v>
      </c>
      <c r="W41" s="139">
        <f>((R24+R26+R27)*0.015+(R28+R32)*1.03)*1.06*1.049*1.143*1.06*1.05*S45</f>
        <v>28.017594307721165</v>
      </c>
      <c r="X41" s="140"/>
    </row>
    <row r="42" spans="1:44" s="24" customFormat="1" ht="25.5" x14ac:dyDescent="0.25">
      <c r="A42" s="54"/>
      <c r="B42" s="62" t="s">
        <v>30</v>
      </c>
      <c r="C42" s="76" t="s">
        <v>31</v>
      </c>
      <c r="D42" s="88">
        <v>0</v>
      </c>
      <c r="E42" s="52">
        <f t="shared" ref="E42" si="9">E40*0.03</f>
        <v>0</v>
      </c>
      <c r="F42" s="52">
        <f>F40*0.03</f>
        <v>0</v>
      </c>
      <c r="G42" s="52">
        <f>(G40-G37)*3%</f>
        <v>0.58957329240000012</v>
      </c>
      <c r="H42" s="94">
        <f t="shared" si="5"/>
        <v>0.58957329240000012</v>
      </c>
      <c r="I42" s="88">
        <v>0</v>
      </c>
      <c r="J42" s="52">
        <f>ROUND(J40*0.03,5)</f>
        <v>0</v>
      </c>
      <c r="K42" s="52">
        <f>ROUND(K40*0.03,5)</f>
        <v>0</v>
      </c>
      <c r="L42" s="52">
        <f>(L40-L37)*3%</f>
        <v>0.12156150358762889</v>
      </c>
      <c r="M42" s="94">
        <f>SUM(I42:L42)</f>
        <v>0.12156150358762889</v>
      </c>
      <c r="N42" s="88">
        <f>(N40-N18)*0.03</f>
        <v>7.0133350739871876</v>
      </c>
      <c r="O42" s="52">
        <f>O40*0.03</f>
        <v>0</v>
      </c>
      <c r="P42" s="52">
        <f>P40*0.03</f>
        <v>0</v>
      </c>
      <c r="Q42" s="52">
        <f>(Q40-Q37)*0.03</f>
        <v>0.92017917044233855</v>
      </c>
      <c r="R42" s="196">
        <f>SUM(N42:Q42)</f>
        <v>7.9335142444295261</v>
      </c>
      <c r="S42" s="27"/>
      <c r="T42" s="141"/>
      <c r="U42" s="141" t="s">
        <v>44</v>
      </c>
      <c r="V42" s="165"/>
    </row>
    <row r="43" spans="1:44" s="31" customFormat="1" ht="12.75" customHeight="1" x14ac:dyDescent="0.2">
      <c r="A43" s="63"/>
      <c r="B43" s="64" t="s">
        <v>14</v>
      </c>
      <c r="C43" s="80" t="s">
        <v>32</v>
      </c>
      <c r="D43" s="90">
        <f>D40+D42</f>
        <v>457.03356000000002</v>
      </c>
      <c r="E43" s="56">
        <f>E40+E42</f>
        <v>0</v>
      </c>
      <c r="F43" s="56">
        <f>F40+F42</f>
        <v>0</v>
      </c>
      <c r="G43" s="56">
        <f>G40+G42</f>
        <v>51.962016372400001</v>
      </c>
      <c r="H43" s="96">
        <f>SUM(D43:G43)</f>
        <v>508.99557637240002</v>
      </c>
      <c r="I43" s="90">
        <f>I40+I42</f>
        <v>94.233723711340218</v>
      </c>
      <c r="J43" s="56">
        <f>J40+J42</f>
        <v>0</v>
      </c>
      <c r="K43" s="56">
        <f>K40+K42</f>
        <v>0</v>
      </c>
      <c r="L43" s="56">
        <f>L40+L42</f>
        <v>12.203991370010701</v>
      </c>
      <c r="M43" s="96">
        <f>SUM(I43:L43)</f>
        <v>106.43771508135092</v>
      </c>
      <c r="N43" s="117">
        <f>N40+N42</f>
        <v>424.58039619314781</v>
      </c>
      <c r="O43" s="173">
        <f>O40+O42</f>
        <v>0</v>
      </c>
      <c r="P43" s="173">
        <f>P40+P42</f>
        <v>0</v>
      </c>
      <c r="Q43" s="173">
        <f>Q40+Q42</f>
        <v>63.312818185186956</v>
      </c>
      <c r="R43" s="197">
        <f>SUM(N43:Q43)</f>
        <v>487.89321437833473</v>
      </c>
      <c r="S43" s="124"/>
    </row>
    <row r="44" spans="1:44" s="24" customFormat="1" ht="31.5" customHeight="1" x14ac:dyDescent="0.2">
      <c r="A44" s="110"/>
      <c r="B44" s="111"/>
      <c r="C44" s="112" t="s">
        <v>123</v>
      </c>
      <c r="D44" s="113"/>
      <c r="E44" s="114"/>
      <c r="F44" s="114"/>
      <c r="G44" s="114"/>
      <c r="H44" s="115"/>
      <c r="I44" s="113"/>
      <c r="J44" s="114"/>
      <c r="K44" s="114"/>
      <c r="L44" s="114"/>
      <c r="M44" s="115"/>
      <c r="N44" s="123">
        <f>(N43-N18)*1.06*1.049*1.143*1.063*1.044+N18*1.044</f>
        <v>531.5027140208756</v>
      </c>
      <c r="O44" s="114">
        <f>O43*1.06*1.049*1.143*1.063*1.044*1.046</f>
        <v>0</v>
      </c>
      <c r="P44" s="114">
        <f>P43*1.06*1.049*1.143*1.063*1.044</f>
        <v>0</v>
      </c>
      <c r="Q44" s="114">
        <f>(Q43-Q39)*1.06*1.049*1.143*1.063*1.044+Q39*1.044</f>
        <v>77.676145106067651</v>
      </c>
      <c r="R44" s="198">
        <f>SUM(N44:Q44)</f>
        <v>609.17885912694328</v>
      </c>
      <c r="S44" s="125"/>
      <c r="T44" s="284" t="s">
        <v>66</v>
      </c>
      <c r="U44" s="281" t="s">
        <v>45</v>
      </c>
      <c r="V44" s="282"/>
      <c r="W44" s="282"/>
      <c r="X44" s="283"/>
      <c r="Y44" s="284" t="s">
        <v>67</v>
      </c>
      <c r="Z44" s="281" t="s">
        <v>45</v>
      </c>
      <c r="AA44" s="282"/>
      <c r="AB44" s="282"/>
      <c r="AC44" s="283"/>
      <c r="AD44" s="284" t="s">
        <v>46</v>
      </c>
      <c r="AE44" s="281" t="s">
        <v>45</v>
      </c>
      <c r="AF44" s="282"/>
      <c r="AG44" s="282"/>
      <c r="AH44" s="283"/>
      <c r="AI44" s="284" t="s">
        <v>47</v>
      </c>
      <c r="AJ44" s="281" t="s">
        <v>45</v>
      </c>
      <c r="AK44" s="282"/>
      <c r="AL44" s="282"/>
      <c r="AM44" s="283"/>
      <c r="AN44" s="275" t="s">
        <v>68</v>
      </c>
      <c r="AO44" s="277" t="s">
        <v>69</v>
      </c>
      <c r="AP44" s="278"/>
      <c r="AQ44" s="278"/>
      <c r="AR44" s="279"/>
    </row>
    <row r="45" spans="1:44" s="24" customFormat="1" ht="25.5" customHeight="1" x14ac:dyDescent="0.2">
      <c r="A45" s="110"/>
      <c r="B45" s="111"/>
      <c r="C45" s="112" t="s">
        <v>40</v>
      </c>
      <c r="D45" s="113"/>
      <c r="E45" s="114"/>
      <c r="F45" s="114"/>
      <c r="G45" s="114"/>
      <c r="H45" s="115"/>
      <c r="I45" s="113"/>
      <c r="J45" s="114"/>
      <c r="K45" s="114"/>
      <c r="L45" s="114"/>
      <c r="M45" s="115"/>
      <c r="N45" s="123">
        <f>(N44-N18*1.044)*$S$45+N18*1.044</f>
        <v>429.61468518470781</v>
      </c>
      <c r="O45" s="174">
        <f>O44*$S$45</f>
        <v>0</v>
      </c>
      <c r="P45" s="174">
        <f>P44*$S$45</f>
        <v>0</v>
      </c>
      <c r="Q45" s="174">
        <f>(Q44-Q39*1.044)*$S$45+Q39*1.044</f>
        <v>64.308005574247346</v>
      </c>
      <c r="R45" s="199">
        <f>SUM(N45:Q45)</f>
        <v>493.92269075895513</v>
      </c>
      <c r="S45" s="119">
        <v>0.7</v>
      </c>
      <c r="T45" s="285"/>
      <c r="U45" s="142" t="s">
        <v>48</v>
      </c>
      <c r="V45" s="142" t="s">
        <v>49</v>
      </c>
      <c r="W45" s="142" t="s">
        <v>50</v>
      </c>
      <c r="X45" s="142" t="s">
        <v>51</v>
      </c>
      <c r="Y45" s="285"/>
      <c r="Z45" s="142" t="s">
        <v>48</v>
      </c>
      <c r="AA45" s="142" t="s">
        <v>49</v>
      </c>
      <c r="AB45" s="142" t="s">
        <v>50</v>
      </c>
      <c r="AC45" s="142" t="s">
        <v>51</v>
      </c>
      <c r="AD45" s="285"/>
      <c r="AE45" s="142" t="s">
        <v>48</v>
      </c>
      <c r="AF45" s="142" t="s">
        <v>49</v>
      </c>
      <c r="AG45" s="142" t="s">
        <v>50</v>
      </c>
      <c r="AH45" s="142" t="s">
        <v>51</v>
      </c>
      <c r="AI45" s="285"/>
      <c r="AJ45" s="142" t="s">
        <v>48</v>
      </c>
      <c r="AK45" s="142" t="s">
        <v>49</v>
      </c>
      <c r="AL45" s="142" t="s">
        <v>50</v>
      </c>
      <c r="AM45" s="142" t="s">
        <v>51</v>
      </c>
      <c r="AN45" s="276"/>
      <c r="AO45" s="175" t="s">
        <v>48</v>
      </c>
      <c r="AP45" s="175" t="s">
        <v>50</v>
      </c>
      <c r="AQ45" s="175" t="s">
        <v>49</v>
      </c>
      <c r="AR45" s="175" t="s">
        <v>51</v>
      </c>
    </row>
    <row r="46" spans="1:44" s="24" customFormat="1" ht="19.5" customHeight="1" x14ac:dyDescent="0.2">
      <c r="A46" s="63"/>
      <c r="B46" s="65" t="s">
        <v>14</v>
      </c>
      <c r="C46" s="80" t="s">
        <v>33</v>
      </c>
      <c r="D46" s="90">
        <f>D43</f>
        <v>457.03356000000002</v>
      </c>
      <c r="E46" s="56">
        <f>E43</f>
        <v>0</v>
      </c>
      <c r="F46" s="56">
        <f>F43</f>
        <v>0</v>
      </c>
      <c r="G46" s="56">
        <f>G43</f>
        <v>51.962016372400001</v>
      </c>
      <c r="H46" s="197">
        <f t="shared" si="5"/>
        <v>508.99557637240002</v>
      </c>
      <c r="I46" s="201">
        <f>I43</f>
        <v>94.233723711340218</v>
      </c>
      <c r="J46" s="202">
        <f>J43</f>
        <v>0</v>
      </c>
      <c r="K46" s="202">
        <f>K43</f>
        <v>0</v>
      </c>
      <c r="L46" s="202">
        <f>L43</f>
        <v>12.203991370010701</v>
      </c>
      <c r="M46" s="197">
        <f>SUM(I46:L46)</f>
        <v>106.43771508135092</v>
      </c>
      <c r="N46" s="201">
        <f>N45</f>
        <v>429.61468518470781</v>
      </c>
      <c r="O46" s="202">
        <f>O45</f>
        <v>0</v>
      </c>
      <c r="P46" s="202">
        <f t="shared" ref="P46" si="10">P45</f>
        <v>0</v>
      </c>
      <c r="Q46" s="202">
        <f>Q45</f>
        <v>64.308005574247346</v>
      </c>
      <c r="R46" s="197">
        <f>R45</f>
        <v>493.92269075895513</v>
      </c>
      <c r="S46" s="119"/>
      <c r="T46" s="166">
        <f>H46</f>
        <v>508.99557637240002</v>
      </c>
      <c r="U46" s="166">
        <f>H39</f>
        <v>31.72</v>
      </c>
      <c r="V46" s="166">
        <f>F46</f>
        <v>0</v>
      </c>
      <c r="W46" s="166">
        <f>D46+E46</f>
        <v>457.03356000000002</v>
      </c>
      <c r="X46" s="166">
        <f>T46-U46-V46-W46</f>
        <v>20.242016372399974</v>
      </c>
      <c r="Y46" s="166">
        <f>M46</f>
        <v>106.43771508135092</v>
      </c>
      <c r="Z46" s="166">
        <f>M37</f>
        <v>8.0303797468354432</v>
      </c>
      <c r="AA46" s="166">
        <f>K46</f>
        <v>0</v>
      </c>
      <c r="AB46" s="166">
        <f>I46+J46</f>
        <v>94.233723711340218</v>
      </c>
      <c r="AC46" s="166">
        <f>Y46-Z46-AA46-AB46</f>
        <v>4.1736116231752476</v>
      </c>
      <c r="AD46" s="166">
        <f>R44</f>
        <v>609.17885912694328</v>
      </c>
      <c r="AE46" s="167">
        <f>R39</f>
        <v>31.72</v>
      </c>
      <c r="AF46" s="166">
        <f>P44</f>
        <v>0</v>
      </c>
      <c r="AG46" s="166">
        <f>N44+O44</f>
        <v>531.5027140208756</v>
      </c>
      <c r="AH46" s="166">
        <f>AD46-AE46-AF46-AG46</f>
        <v>45.956145106067652</v>
      </c>
      <c r="AI46" s="166">
        <f>R46</f>
        <v>493.92269075895513</v>
      </c>
      <c r="AJ46" s="166">
        <f>AE46</f>
        <v>31.72</v>
      </c>
      <c r="AK46" s="166">
        <f>P45</f>
        <v>0</v>
      </c>
      <c r="AL46" s="166">
        <f>N45+O45</f>
        <v>429.61468518470781</v>
      </c>
      <c r="AM46" s="166">
        <f>AI46-AJ46-AK46-AL46</f>
        <v>32.58800557424729</v>
      </c>
      <c r="AN46" s="166">
        <f>V39</f>
        <v>462.2026907589551</v>
      </c>
      <c r="AO46" s="166"/>
      <c r="AP46" s="166" t="e">
        <f>#REF!+#REF!</f>
        <v>#REF!</v>
      </c>
      <c r="AQ46" s="166" t="e">
        <f>#REF!</f>
        <v>#REF!</v>
      </c>
      <c r="AR46" s="166" t="e">
        <f>AN46-AO46-AP46-AQ46</f>
        <v>#REF!</v>
      </c>
    </row>
    <row r="47" spans="1:44" s="24" customFormat="1" x14ac:dyDescent="0.2">
      <c r="A47" s="60"/>
      <c r="B47" s="66" t="s">
        <v>14</v>
      </c>
      <c r="C47" s="76" t="s">
        <v>34</v>
      </c>
      <c r="D47" s="88">
        <v>0</v>
      </c>
      <c r="E47" s="52">
        <f>E46*0.18</f>
        <v>0</v>
      </c>
      <c r="F47" s="52">
        <f>F46*0.18</f>
        <v>0</v>
      </c>
      <c r="G47" s="52">
        <f>(G46-G39)*0.18</f>
        <v>3.6435629470320001</v>
      </c>
      <c r="H47" s="196">
        <f t="shared" si="5"/>
        <v>3.6435629470320001</v>
      </c>
      <c r="I47" s="203">
        <v>0</v>
      </c>
      <c r="J47" s="194">
        <f>J46*0.18</f>
        <v>0</v>
      </c>
      <c r="K47" s="194">
        <f>K46*0.18</f>
        <v>0</v>
      </c>
      <c r="L47" s="194">
        <f>(L46-L39)*0.18</f>
        <v>0.75125009217154648</v>
      </c>
      <c r="M47" s="196">
        <f>SUM(I47:L47)</f>
        <v>0.75125009217154648</v>
      </c>
      <c r="N47" s="203">
        <f>N46*0.18</f>
        <v>77.330643333247409</v>
      </c>
      <c r="O47" s="194">
        <f>O46*0.18</f>
        <v>0</v>
      </c>
      <c r="P47" s="194">
        <f>P46*0.18</f>
        <v>0</v>
      </c>
      <c r="Q47" s="194">
        <f>(Q46-Q39)*0.18</f>
        <v>5.8658410033645225</v>
      </c>
      <c r="R47" s="196">
        <f>SUM(N47:Q47)</f>
        <v>83.196484336611931</v>
      </c>
      <c r="S47" s="119"/>
    </row>
    <row r="48" spans="1:44" s="24" customFormat="1" ht="26.25" thickBot="1" x14ac:dyDescent="0.25">
      <c r="A48" s="54"/>
      <c r="B48" s="66" t="s">
        <v>14</v>
      </c>
      <c r="C48" s="76" t="s">
        <v>35</v>
      </c>
      <c r="D48" s="102">
        <f>D46+D47</f>
        <v>457.03356000000002</v>
      </c>
      <c r="E48" s="103">
        <f>E46+E47</f>
        <v>0</v>
      </c>
      <c r="F48" s="103">
        <f>F46+F47</f>
        <v>0</v>
      </c>
      <c r="G48" s="103">
        <f>G46+G47</f>
        <v>55.605579319432003</v>
      </c>
      <c r="H48" s="200">
        <f t="shared" si="5"/>
        <v>512.63913931943205</v>
      </c>
      <c r="I48" s="204">
        <f>I46+I47</f>
        <v>94.233723711340218</v>
      </c>
      <c r="J48" s="205">
        <f>J46+J47</f>
        <v>0</v>
      </c>
      <c r="K48" s="205">
        <f>K46+K47</f>
        <v>0</v>
      </c>
      <c r="L48" s="205">
        <f>L46+L47</f>
        <v>12.955241462182247</v>
      </c>
      <c r="M48" s="200">
        <f>SUM(I48:L48)</f>
        <v>107.18896517352246</v>
      </c>
      <c r="N48" s="204">
        <f>N46+N47</f>
        <v>506.9453285179552</v>
      </c>
      <c r="O48" s="205">
        <f>O46+O47</f>
        <v>0</v>
      </c>
      <c r="P48" s="205">
        <f>P46+P47</f>
        <v>0</v>
      </c>
      <c r="Q48" s="205">
        <f>Q46+Q47</f>
        <v>70.173846577611869</v>
      </c>
      <c r="R48" s="200">
        <f>SUM(N48:Q48)</f>
        <v>577.11917509556702</v>
      </c>
      <c r="S48" s="119"/>
    </row>
    <row r="49" spans="1:19" x14ac:dyDescent="0.2">
      <c r="A49" s="67" t="s">
        <v>14</v>
      </c>
      <c r="B49" s="301" t="s">
        <v>14</v>
      </c>
      <c r="C49" s="302"/>
      <c r="D49" s="303" t="s">
        <v>14</v>
      </c>
      <c r="E49" s="304"/>
      <c r="F49" s="305" t="s">
        <v>14</v>
      </c>
      <c r="G49" s="306"/>
      <c r="H49" s="306"/>
      <c r="I49" s="33"/>
      <c r="J49" s="33"/>
      <c r="K49" s="33"/>
      <c r="L49" s="33"/>
      <c r="M49" s="34"/>
      <c r="N49" s="35"/>
      <c r="O49" s="35"/>
      <c r="P49" s="35"/>
      <c r="Q49" s="35"/>
      <c r="R49" s="35"/>
    </row>
    <row r="50" spans="1:19" ht="19.5" customHeight="1" x14ac:dyDescent="0.2">
      <c r="A50" s="67"/>
      <c r="B50" s="307" t="s">
        <v>115</v>
      </c>
      <c r="C50" s="307"/>
      <c r="D50" s="307"/>
      <c r="E50" s="307"/>
      <c r="F50" s="307"/>
      <c r="G50" s="307"/>
      <c r="H50" s="307"/>
      <c r="I50" s="68"/>
      <c r="J50" s="68"/>
      <c r="K50" s="68"/>
      <c r="L50" s="68"/>
      <c r="M50" s="68"/>
      <c r="N50" s="35"/>
      <c r="O50" s="35"/>
      <c r="P50" s="35"/>
      <c r="Q50" s="35"/>
      <c r="R50" s="71"/>
    </row>
    <row r="51" spans="1:19" ht="21.75" customHeight="1" x14ac:dyDescent="0.2">
      <c r="A51" s="67"/>
      <c r="B51" s="307" t="s">
        <v>116</v>
      </c>
      <c r="C51" s="307"/>
      <c r="D51" s="307"/>
      <c r="E51" s="307"/>
      <c r="F51" s="307"/>
      <c r="G51" s="307"/>
      <c r="H51" s="307"/>
      <c r="I51" s="68"/>
      <c r="J51" s="68"/>
      <c r="K51" s="68"/>
      <c r="L51" s="35"/>
      <c r="M51" s="35"/>
      <c r="N51" s="35"/>
      <c r="O51" s="35"/>
      <c r="P51" s="35"/>
      <c r="Q51" s="35"/>
      <c r="R51" s="35"/>
    </row>
    <row r="52" spans="1:19" ht="31.5" customHeight="1" x14ac:dyDescent="0.2">
      <c r="A52" s="67"/>
      <c r="B52" s="308" t="s">
        <v>36</v>
      </c>
      <c r="C52" s="308"/>
      <c r="D52" s="308"/>
      <c r="E52" s="308"/>
      <c r="F52" s="308"/>
      <c r="G52" s="69"/>
      <c r="H52" s="295" t="s">
        <v>132</v>
      </c>
      <c r="I52" s="296"/>
      <c r="J52" s="296"/>
      <c r="K52" s="296"/>
      <c r="L52" s="296"/>
      <c r="M52" s="297"/>
      <c r="N52" s="298">
        <f>H46</f>
        <v>508.99557637240002</v>
      </c>
      <c r="O52" s="299"/>
      <c r="P52" s="280" t="s">
        <v>39</v>
      </c>
      <c r="Q52" s="280"/>
      <c r="S52" s="21"/>
    </row>
    <row r="53" spans="1:19" ht="39" customHeight="1" x14ac:dyDescent="0.2">
      <c r="A53" s="35"/>
      <c r="B53" s="70" t="s">
        <v>37</v>
      </c>
      <c r="C53" s="70"/>
      <c r="D53" s="70"/>
      <c r="E53" s="70"/>
      <c r="F53" s="70"/>
      <c r="G53" s="35"/>
      <c r="H53" s="295" t="s">
        <v>124</v>
      </c>
      <c r="I53" s="296"/>
      <c r="J53" s="296"/>
      <c r="K53" s="296"/>
      <c r="L53" s="296"/>
      <c r="M53" s="297"/>
      <c r="N53" s="298">
        <f>R44</f>
        <v>609.17885912694328</v>
      </c>
      <c r="O53" s="299"/>
      <c r="P53" s="280" t="s">
        <v>39</v>
      </c>
      <c r="Q53" s="280"/>
      <c r="S53" s="21"/>
    </row>
    <row r="54" spans="1:19" ht="45" customHeight="1" x14ac:dyDescent="0.2">
      <c r="A54" s="35"/>
      <c r="B54" s="70" t="s">
        <v>59</v>
      </c>
      <c r="C54" s="70"/>
      <c r="D54" s="70"/>
      <c r="E54" s="70"/>
      <c r="G54" s="180"/>
      <c r="H54" s="295" t="s">
        <v>125</v>
      </c>
      <c r="I54" s="296"/>
      <c r="J54" s="296"/>
      <c r="K54" s="296"/>
      <c r="L54" s="296"/>
      <c r="M54" s="297"/>
      <c r="N54" s="298">
        <f>R46</f>
        <v>493.92269075895513</v>
      </c>
      <c r="O54" s="299"/>
      <c r="P54" s="280" t="s">
        <v>39</v>
      </c>
      <c r="Q54" s="280"/>
      <c r="S54" s="21"/>
    </row>
    <row r="55" spans="1:19" ht="45" customHeight="1" x14ac:dyDescent="0.2">
      <c r="A55" s="35"/>
      <c r="B55" s="35"/>
      <c r="C55" s="35"/>
      <c r="D55" s="35"/>
      <c r="E55" s="35"/>
      <c r="F55" s="35"/>
      <c r="G55" s="35"/>
      <c r="S55" s="21"/>
    </row>
    <row r="56" spans="1:19" ht="19.5" customHeight="1" x14ac:dyDescent="0.25">
      <c r="J56" s="9"/>
      <c r="K56" s="9"/>
      <c r="L56" s="300"/>
      <c r="M56" s="300"/>
      <c r="N56" s="10"/>
      <c r="O56" s="10"/>
      <c r="P56" s="10"/>
      <c r="S56" s="22"/>
    </row>
  </sheetData>
  <mergeCells count="50">
    <mergeCell ref="A7:R7"/>
    <mergeCell ref="N9:R9"/>
    <mergeCell ref="N1:R1"/>
    <mergeCell ref="N2:R4"/>
    <mergeCell ref="N5:R5"/>
    <mergeCell ref="A8:H8"/>
    <mergeCell ref="A1:M1"/>
    <mergeCell ref="A2:M2"/>
    <mergeCell ref="A3:B3"/>
    <mergeCell ref="C3:H3"/>
    <mergeCell ref="A4:B4"/>
    <mergeCell ref="C4:H4"/>
    <mergeCell ref="A9:A10"/>
    <mergeCell ref="B9:B10"/>
    <mergeCell ref="C9:C10"/>
    <mergeCell ref="D9:H9"/>
    <mergeCell ref="L56:M56"/>
    <mergeCell ref="B49:C49"/>
    <mergeCell ref="D49:E49"/>
    <mergeCell ref="F49:H49"/>
    <mergeCell ref="B50:H50"/>
    <mergeCell ref="B51:H51"/>
    <mergeCell ref="B52:F52"/>
    <mergeCell ref="H53:M53"/>
    <mergeCell ref="H54:M54"/>
    <mergeCell ref="I9:M9"/>
    <mergeCell ref="H52:M52"/>
    <mergeCell ref="N52:O52"/>
    <mergeCell ref="N53:O53"/>
    <mergeCell ref="N54:O54"/>
    <mergeCell ref="A12:C12"/>
    <mergeCell ref="A15:C15"/>
    <mergeCell ref="A36:C36"/>
    <mergeCell ref="A41:C41"/>
    <mergeCell ref="A31:C31"/>
    <mergeCell ref="A21:C21"/>
    <mergeCell ref="A25:C25"/>
    <mergeCell ref="AN44:AN45"/>
    <mergeCell ref="AO44:AR44"/>
    <mergeCell ref="P52:Q52"/>
    <mergeCell ref="P53:Q53"/>
    <mergeCell ref="P54:Q54"/>
    <mergeCell ref="AE44:AH44"/>
    <mergeCell ref="AI44:AI45"/>
    <mergeCell ref="AJ44:AM44"/>
    <mergeCell ref="T44:T45"/>
    <mergeCell ref="U44:X44"/>
    <mergeCell ref="Y44:Y45"/>
    <mergeCell ref="Z44:AC44"/>
    <mergeCell ref="AD44:AD45"/>
  </mergeCells>
  <conditionalFormatting sqref="AN44:AO44 AO45:AR45 U45:X45 T44:U44 Z45:AC45 AI44:AJ44 AJ45:AM45 AE45:AH45 AD44:AE44 Y44:Z44">
    <cfRule type="cellIs" dxfId="1" priority="5" operator="lessThan">
      <formula>0</formula>
    </cfRule>
    <cfRule type="cellIs" dxfId="0" priority="6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ССР 2017</vt:lpstr>
      <vt:lpstr>ССР база</vt:lpstr>
      <vt:lpstr>Расчет с 30% снижением</vt:lpstr>
      <vt:lpstr>'Расчет с 30% снижением'!Область_печати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Есев Роман Николаевич</cp:lastModifiedBy>
  <cp:lastPrinted>2018-01-15T06:22:14Z</cp:lastPrinted>
  <dcterms:created xsi:type="dcterms:W3CDTF">2013-08-20T09:15:16Z</dcterms:created>
  <dcterms:modified xsi:type="dcterms:W3CDTF">2018-01-25T06:39:52Z</dcterms:modified>
</cp:coreProperties>
</file>